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65491" windowWidth="14880" windowHeight="11640" tabRatio="667" firstSheet="10" activeTab="18"/>
  </bookViews>
  <sheets>
    <sheet name="Швы 26" sheetId="1" state="hidden" r:id="rId1"/>
    <sheet name="Швы 18,18а,19" sheetId="2" r:id="rId2"/>
    <sheet name="Швы 18а" sheetId="3" state="hidden" r:id="rId3"/>
    <sheet name="Швы 18б" sheetId="4" state="hidden" r:id="rId4"/>
    <sheet name="Швы 25,26" sheetId="5" r:id="rId5"/>
    <sheet name="Швы 22,23,24" sheetId="6" r:id="rId6"/>
    <sheet name="Швы 22" sheetId="7" state="hidden" r:id="rId7"/>
    <sheet name="Швы 23" sheetId="8" state="hidden" r:id="rId8"/>
    <sheet name="тек рем" sheetId="9" r:id="rId9"/>
    <sheet name="Уборка придо тер" sheetId="10" r:id="rId10"/>
    <sheet name="Уборка лестничных клеток" sheetId="11" r:id="rId11"/>
    <sheet name="электрик" sheetId="12" r:id="rId12"/>
    <sheet name="ВДГО" sheetId="13" r:id="rId13"/>
    <sheet name="Изоляция" sheetId="14" r:id="rId14"/>
    <sheet name="сантехника" sheetId="15" r:id="rId15"/>
    <sheet name="ТБО" sheetId="16" r:id="rId16"/>
    <sheet name="Дератиз" sheetId="17" r:id="rId17"/>
    <sheet name="Лист3" sheetId="18" state="hidden" r:id="rId18"/>
    <sheet name="Сводная Таблица " sheetId="19" r:id="rId19"/>
    <sheet name="Лист1" sheetId="20" r:id="rId20"/>
  </sheets>
  <definedNames/>
  <calcPr fullCalcOnLoad="1"/>
</workbook>
</file>

<file path=xl/sharedStrings.xml><?xml version="1.0" encoding="utf-8"?>
<sst xmlns="http://schemas.openxmlformats.org/spreadsheetml/2006/main" count="487" uniqueCount="144">
  <si>
    <t>Тариф</t>
  </si>
  <si>
    <t>х</t>
  </si>
  <si>
    <t>кв.м.</t>
  </si>
  <si>
    <t>начисление в месяц</t>
  </si>
  <si>
    <t xml:space="preserve">за 1 кв.м. </t>
  </si>
  <si>
    <t>=</t>
  </si>
  <si>
    <t>Материалы</t>
  </si>
  <si>
    <t>Затраты по статье :</t>
  </si>
  <si>
    <t>Зарплата рабочих (дворники) -</t>
  </si>
  <si>
    <t>ООО "Лига"</t>
  </si>
  <si>
    <t>Бензин</t>
  </si>
  <si>
    <t>Зарплата водителя</t>
  </si>
  <si>
    <t>Обучение</t>
  </si>
  <si>
    <t>Мед. Ком.</t>
  </si>
  <si>
    <t>Канц. Тов.</t>
  </si>
  <si>
    <t>Связь</t>
  </si>
  <si>
    <t>Компенсация за использование личнорго авто</t>
  </si>
  <si>
    <t>Итого</t>
  </si>
  <si>
    <t xml:space="preserve">итого поступило от населения </t>
  </si>
  <si>
    <t>Дворники</t>
  </si>
  <si>
    <t>Тракторист</t>
  </si>
  <si>
    <t xml:space="preserve"> 1/2 ставки</t>
  </si>
  <si>
    <t>Аренда офиса</t>
  </si>
  <si>
    <t>Итого затрат по статье  в мес</t>
  </si>
  <si>
    <t>Услуги РКЦ</t>
  </si>
  <si>
    <t>Диз топлливо</t>
  </si>
  <si>
    <t>Зарплата рабочих  -</t>
  </si>
  <si>
    <t>Электрогазосварщик</t>
  </si>
  <si>
    <t>Электрик</t>
  </si>
  <si>
    <t>Сбытовая</t>
  </si>
  <si>
    <t>ВДГО</t>
  </si>
  <si>
    <t>Плита</t>
  </si>
  <si>
    <t>Стояк</t>
  </si>
  <si>
    <t>количество</t>
  </si>
  <si>
    <t>ст за ед (руб)</t>
  </si>
  <si>
    <t xml:space="preserve"> </t>
  </si>
  <si>
    <t>Леноблгаз</t>
  </si>
  <si>
    <t>Обслуживание внутридомовых сетей водоснабжения и водоотведения</t>
  </si>
  <si>
    <t>Обслуживание внутридомовых сетей теплоснабжения</t>
  </si>
  <si>
    <t xml:space="preserve">Аварийно-диспечерское обслуживание </t>
  </si>
  <si>
    <t>ТБО</t>
  </si>
  <si>
    <t>Обслуживание внутридомовых электрических сетей</t>
  </si>
  <si>
    <t xml:space="preserve">Освещение помещений общего пользования, </t>
  </si>
  <si>
    <t>V Конт.</t>
  </si>
  <si>
    <t>Стоимость вывоза</t>
  </si>
  <si>
    <t>Аренда,</t>
  </si>
  <si>
    <t>Кол</t>
  </si>
  <si>
    <t xml:space="preserve">Кол вывозов в мес </t>
  </si>
  <si>
    <t>/</t>
  </si>
  <si>
    <t>36 мес</t>
  </si>
  <si>
    <t>Замер сопротивления изоляции,</t>
  </si>
  <si>
    <t>Зарплата мастера</t>
  </si>
  <si>
    <t>Зарплата АУП</t>
  </si>
  <si>
    <t>Дератизация и дезинсекция</t>
  </si>
  <si>
    <t>Стоимость услуг</t>
  </si>
  <si>
    <t xml:space="preserve">Итого затрат по статье  </t>
  </si>
  <si>
    <t>Ремонт автомобиля,</t>
  </si>
  <si>
    <t>Аренда транспорта</t>
  </si>
  <si>
    <t>Услуги юриста</t>
  </si>
  <si>
    <t>Вывоз ТБО</t>
  </si>
  <si>
    <t>Замер сопротивления изоляции</t>
  </si>
  <si>
    <t>Уборка лестничных клеток</t>
  </si>
  <si>
    <t>Уборка придомовой территории</t>
  </si>
  <si>
    <t>Текущий ремонт</t>
  </si>
  <si>
    <t>с 01.03.11 по31.12.11</t>
  </si>
  <si>
    <t>Начислено (руб)</t>
  </si>
  <si>
    <t>Тариф за 1кв.м. (руб)</t>
  </si>
  <si>
    <t>Наименование услуги</t>
  </si>
  <si>
    <t>Площадь</t>
  </si>
  <si>
    <t xml:space="preserve">Оплачено </t>
  </si>
  <si>
    <t>%</t>
  </si>
  <si>
    <t>Зарплата Инженера</t>
  </si>
  <si>
    <t>Рентабельность</t>
  </si>
  <si>
    <t>,</t>
  </si>
  <si>
    <t>Управление ЖФ</t>
  </si>
  <si>
    <t>Управление ЖФ в мес.</t>
  </si>
  <si>
    <t>Программное обеспечение</t>
  </si>
  <si>
    <t xml:space="preserve">Отчисл в фонды по зарплате 30,2% - </t>
  </si>
  <si>
    <t xml:space="preserve">Отчисление в фонды 30,2% - </t>
  </si>
  <si>
    <t>действующий</t>
  </si>
  <si>
    <t>Изменение тарифа</t>
  </si>
  <si>
    <t>Увеличение размера платы 40м.кв.</t>
  </si>
  <si>
    <t>Мастер</t>
  </si>
  <si>
    <t>Электромонтер</t>
  </si>
  <si>
    <t>Сварщик (4 рязряд)</t>
  </si>
  <si>
    <t xml:space="preserve">Рабочий по комплексной уборке </t>
  </si>
  <si>
    <t>ИТОГО</t>
  </si>
  <si>
    <t>Наименование должности</t>
  </si>
  <si>
    <t>Количество единиц</t>
  </si>
  <si>
    <t>заработная плата 1 единицы</t>
  </si>
  <si>
    <t>Сумма окладов</t>
  </si>
  <si>
    <t>% премии</t>
  </si>
  <si>
    <t>Сумма премии</t>
  </si>
  <si>
    <t>Итого з/плата+премия</t>
  </si>
  <si>
    <t>Топливо/ инвентарь</t>
  </si>
  <si>
    <t>Рост з/платы</t>
  </si>
  <si>
    <t>Услуги ЕИРЦ</t>
  </si>
  <si>
    <t>РКО</t>
  </si>
  <si>
    <t>Вентканалы</t>
  </si>
  <si>
    <t>Налог по УСН</t>
  </si>
  <si>
    <t>МПШ</t>
  </si>
  <si>
    <t>всего</t>
  </si>
  <si>
    <t>стоимость</t>
  </si>
  <si>
    <t>колич в год</t>
  </si>
  <si>
    <t>Герметизация межпанельных швов</t>
  </si>
  <si>
    <t xml:space="preserve">Текущий ремонт </t>
  </si>
  <si>
    <t xml:space="preserve">Уборка придомовой территории </t>
  </si>
  <si>
    <t xml:space="preserve">Уборка лестничных клеток </t>
  </si>
  <si>
    <t>Ощехозяйственные расходы</t>
  </si>
  <si>
    <t>Ремонт кровель</t>
  </si>
  <si>
    <t>Швы</t>
  </si>
  <si>
    <t xml:space="preserve">  </t>
  </si>
  <si>
    <t>Звездная 4 (22)</t>
  </si>
  <si>
    <t>Звездная 6 (24)</t>
  </si>
  <si>
    <t>Моложедная 3 (26)</t>
  </si>
  <si>
    <t>Моложедная 4 (18а)</t>
  </si>
  <si>
    <t>Моложедная 5 (19)</t>
  </si>
  <si>
    <t>Основные статьи расходов связанных с управлением МДК (рублей в месяц)</t>
  </si>
  <si>
    <t>Зарплата обслуживающего персонала (без учета АУП и ИТР)</t>
  </si>
  <si>
    <t>Отчисления в фонды с заработной платы обслуживающео персонала</t>
  </si>
  <si>
    <t>оплата поставщикам (эл., Изол., ВДГО, ТБО)</t>
  </si>
  <si>
    <t>Налогообложение (УСН "доходы - расходы")</t>
  </si>
  <si>
    <t>Материалы для проведения  текущего ремонта (с доставкой)</t>
  </si>
  <si>
    <t xml:space="preserve">Материалы/инвентарь для содержание мкд </t>
  </si>
  <si>
    <t>Ремонт подъездов</t>
  </si>
  <si>
    <t>дератизация</t>
  </si>
  <si>
    <t xml:space="preserve"> Комплексный участок д.Б.Пустомержа</t>
  </si>
  <si>
    <t>Ремонт кровель / подрядчик</t>
  </si>
  <si>
    <t>Увеличение размера платы 60м.кв.</t>
  </si>
  <si>
    <t>Утверждаю: директор ООО "УК"Коммунальные сети"</t>
  </si>
  <si>
    <t>______________Михайловский И.В.</t>
  </si>
  <si>
    <t>18б</t>
  </si>
  <si>
    <t>18а</t>
  </si>
  <si>
    <t>Сравнительная таблица изменения тарифа ООО "УК "Коммунальные сети", д.Б.Пустомержа, мес.</t>
  </si>
  <si>
    <t>руб/м.кв.</t>
  </si>
  <si>
    <t>адрес</t>
  </si>
  <si>
    <t>ежегодно</t>
  </si>
  <si>
    <t>новый</t>
  </si>
  <si>
    <t>Размер платы за 1кв.м. (руб)</t>
  </si>
  <si>
    <t>22,23,24</t>
  </si>
  <si>
    <t>18,18а,19</t>
  </si>
  <si>
    <t>Звездная 2 (23), 4(22), 6(24)</t>
  </si>
  <si>
    <t>Звездная 8 (25), Молодежная 3(26)</t>
  </si>
  <si>
    <t>Звездная 10 (18б), Молодежная 4(18а), 5(19)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</si>
</sst>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%"/>
    <numFmt numFmtId="175" formatCode="0.000"/>
    <numFmt numFmtId="176" formatCode="0.00000"/>
    <numFmt numFmtId="177" formatCode="0.0000"/>
    <numFmt numFmtId="178" formatCode="[$-FC19]d\ mmmm\ yyyy\ &quot;г.&quot;"/>
  </numFmts>
  <fonts count="49">
    <font>
      <sz val="10"/>
      <name val="Arial Cyr"/>
      <family val="0"/>
    </font>
    <font>
      <b/>
      <i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3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2" fontId="3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vertical="center"/>
    </xf>
    <xf numFmtId="9" fontId="3" fillId="0" borderId="11" xfId="0" applyNumberFormat="1" applyFont="1" applyBorder="1" applyAlignment="1">
      <alignment horizontal="right" vertical="center"/>
    </xf>
    <xf numFmtId="9" fontId="0" fillId="0" borderId="0" xfId="0" applyNumberForma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/>
    </xf>
    <xf numFmtId="0" fontId="47" fillId="0" borderId="16" xfId="0" applyFont="1" applyBorder="1" applyAlignment="1">
      <alignment horizontal="right" vertical="center"/>
    </xf>
    <xf numFmtId="2" fontId="47" fillId="0" borderId="11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/>
    </xf>
    <xf numFmtId="0" fontId="0" fillId="0" borderId="11" xfId="0" applyBorder="1" applyAlignment="1">
      <alignment/>
    </xf>
    <xf numFmtId="10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9" fontId="0" fillId="0" borderId="15" xfId="55" applyFont="1" applyBorder="1" applyAlignment="1">
      <alignment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9" fontId="0" fillId="0" borderId="11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" fontId="48" fillId="0" borderId="11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7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9" fontId="5" fillId="0" borderId="11" xfId="55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9" fontId="5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1" xfId="55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 vertical="center"/>
    </xf>
    <xf numFmtId="2" fontId="47" fillId="0" borderId="18" xfId="0" applyNumberFormat="1" applyFont="1" applyBorder="1" applyAlignment="1">
      <alignment horizontal="right" vertical="center"/>
    </xf>
    <xf numFmtId="2" fontId="47" fillId="0" borderId="10" xfId="0" applyNumberFormat="1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47" fillId="0" borderId="0" xfId="0" applyNumberFormat="1" applyFont="1" applyBorder="1" applyAlignment="1">
      <alignment horizontal="right" vertical="center"/>
    </xf>
    <xf numFmtId="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47" fillId="0" borderId="12" xfId="0" applyNumberFormat="1" applyFont="1" applyBorder="1" applyAlignment="1">
      <alignment horizontal="center" vertical="center"/>
    </xf>
    <xf numFmtId="2" fontId="47" fillId="0" borderId="18" xfId="0" applyNumberFormat="1" applyFont="1" applyBorder="1" applyAlignment="1">
      <alignment horizontal="center" vertical="center"/>
    </xf>
    <xf numFmtId="2" fontId="47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8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4">
        <f>'Сводная Таблица '!B18</f>
        <v>28.24</v>
      </c>
      <c r="B1" s="12"/>
      <c r="C1" s="12"/>
      <c r="D1" s="12"/>
      <c r="E1" s="12"/>
      <c r="F1" s="12"/>
      <c r="G1" s="12"/>
      <c r="H1" s="12"/>
      <c r="I1" s="7"/>
      <c r="J1" s="7"/>
      <c r="K1" s="7"/>
    </row>
    <row r="2" spans="1:11" ht="12.75">
      <c r="A2" s="37" t="s">
        <v>110</v>
      </c>
      <c r="B2" s="12">
        <v>26</v>
      </c>
      <c r="C2" s="38"/>
      <c r="D2" s="38"/>
      <c r="E2" s="12"/>
      <c r="F2" s="12"/>
      <c r="G2" s="12"/>
      <c r="H2" s="12">
        <v>0</v>
      </c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2.53</v>
      </c>
      <c r="C4" s="12" t="s">
        <v>4</v>
      </c>
      <c r="D4" s="12" t="s">
        <v>1</v>
      </c>
      <c r="E4" s="12">
        <v>1427.3</v>
      </c>
      <c r="F4" s="12" t="s">
        <v>2</v>
      </c>
      <c r="G4" s="12" t="s">
        <v>5</v>
      </c>
      <c r="H4" s="12">
        <f>B4*E4</f>
        <v>3611.0689999999995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/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3611.0689999999995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3611.0689999999995</v>
      </c>
      <c r="D11" s="12" t="s">
        <v>1</v>
      </c>
      <c r="E11" s="40">
        <v>0.01</v>
      </c>
      <c r="F11" s="40"/>
      <c r="G11" s="12" t="s">
        <v>5</v>
      </c>
      <c r="H11" s="14">
        <f>C11*E11</f>
        <v>36.11069</v>
      </c>
      <c r="I11" s="7"/>
      <c r="J11" s="7"/>
      <c r="K11" s="7"/>
    </row>
    <row r="12" spans="1:11" ht="12.75">
      <c r="A12" s="32" t="s">
        <v>96</v>
      </c>
      <c r="B12" s="12"/>
      <c r="C12" s="12">
        <f>H6</f>
        <v>3611.0689999999995</v>
      </c>
      <c r="D12" s="12" t="s">
        <v>1</v>
      </c>
      <c r="E12" s="41">
        <v>0.0183</v>
      </c>
      <c r="F12" s="40"/>
      <c r="G12" s="12" t="s">
        <v>5</v>
      </c>
      <c r="H12" s="14">
        <f>C12*E12</f>
        <v>66.0825627</v>
      </c>
      <c r="I12" s="7"/>
      <c r="J12" s="7"/>
      <c r="K12" s="7"/>
    </row>
    <row r="13" spans="1:11" ht="12.75">
      <c r="A13" s="12"/>
      <c r="B13" s="32" t="s">
        <v>101</v>
      </c>
      <c r="C13" s="32" t="s">
        <v>102</v>
      </c>
      <c r="D13" s="12"/>
      <c r="E13" s="32" t="s">
        <v>103</v>
      </c>
      <c r="F13" s="12"/>
      <c r="G13" s="12"/>
      <c r="H13" s="12"/>
      <c r="I13" s="7"/>
      <c r="J13" s="7"/>
      <c r="K13" s="7"/>
    </row>
    <row r="14" spans="1:11" ht="12.75">
      <c r="A14" s="32" t="s">
        <v>100</v>
      </c>
      <c r="B14" s="14">
        <v>600</v>
      </c>
      <c r="C14" s="12">
        <v>350</v>
      </c>
      <c r="D14" s="12"/>
      <c r="E14" s="12">
        <f>B14/5</f>
        <v>120</v>
      </c>
      <c r="F14" s="12"/>
      <c r="G14" s="12"/>
      <c r="H14" s="12">
        <f>E14*C14/12</f>
        <v>3500</v>
      </c>
      <c r="I14" s="7"/>
      <c r="J14" s="7"/>
      <c r="K14" s="7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7"/>
      <c r="J15" s="7"/>
      <c r="K15" s="7"/>
    </row>
    <row r="16" spans="1:11" ht="12.75">
      <c r="A16" s="12" t="s">
        <v>6</v>
      </c>
      <c r="B16" s="12"/>
      <c r="C16" s="12"/>
      <c r="D16" s="12"/>
      <c r="E16" s="12"/>
      <c r="F16" s="12"/>
      <c r="G16" s="12"/>
      <c r="H16" s="12"/>
      <c r="I16" s="7"/>
      <c r="J16" s="7"/>
      <c r="K16" s="7"/>
    </row>
    <row r="17" spans="1:11" ht="12.75">
      <c r="A17" s="32"/>
      <c r="B17" s="12"/>
      <c r="C17" s="12"/>
      <c r="D17" s="12"/>
      <c r="E17" s="15"/>
      <c r="F17" s="12"/>
      <c r="G17" s="12"/>
      <c r="H17" s="14"/>
      <c r="I17" s="7"/>
      <c r="J17" s="7"/>
      <c r="K17" s="7"/>
    </row>
    <row r="18" spans="1:11" ht="12.75">
      <c r="A18" s="32" t="s">
        <v>74</v>
      </c>
      <c r="B18" s="40"/>
      <c r="C18" s="15">
        <v>0</v>
      </c>
      <c r="D18" s="12"/>
      <c r="E18" s="12"/>
      <c r="F18" s="12"/>
      <c r="G18" s="12"/>
      <c r="H18" s="14">
        <f>C18*Лист3!E24</f>
        <v>0</v>
      </c>
      <c r="I18" s="7"/>
      <c r="J18" s="7"/>
      <c r="K18" s="7"/>
    </row>
    <row r="19" spans="1:11" ht="12.75">
      <c r="A19" s="39" t="s">
        <v>23</v>
      </c>
      <c r="B19" s="12"/>
      <c r="C19" s="12"/>
      <c r="D19" s="12"/>
      <c r="E19" s="12"/>
      <c r="F19" s="12"/>
      <c r="G19" s="12"/>
      <c r="H19" s="14">
        <f>H18+H17+H15+H14+H12+H11+H16</f>
        <v>3602.1932527</v>
      </c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 t="s">
        <v>17</v>
      </c>
      <c r="C21" s="8">
        <f>H6-H19</f>
        <v>8.875747299999603</v>
      </c>
      <c r="D21" s="7"/>
      <c r="E21" s="7"/>
      <c r="F21" s="7"/>
      <c r="G21" s="7"/>
      <c r="H21" s="8">
        <f>C21+H16</f>
        <v>8.875747299999603</v>
      </c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15.75390625" style="0" customWidth="1"/>
    <col min="3" max="3" width="11.1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0" ht="12.75">
      <c r="A1" s="8">
        <f>'тек рем'!A1</f>
        <v>28.24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37" t="s">
        <v>106</v>
      </c>
      <c r="B2" s="12"/>
      <c r="C2" s="38"/>
      <c r="D2" s="38"/>
      <c r="E2" s="12"/>
      <c r="F2" s="12"/>
      <c r="G2" s="12"/>
      <c r="H2" s="12"/>
      <c r="I2" s="7"/>
      <c r="J2" s="7"/>
    </row>
    <row r="3" spans="1:10" ht="12.75">
      <c r="A3" s="12"/>
      <c r="B3" s="12"/>
      <c r="C3" s="12"/>
      <c r="D3" s="12"/>
      <c r="E3" s="12"/>
      <c r="F3" s="12"/>
      <c r="G3" s="12"/>
      <c r="H3" s="12"/>
      <c r="I3" s="7"/>
      <c r="J3" s="7"/>
    </row>
    <row r="4" spans="1:10" ht="12.75">
      <c r="A4" s="12" t="s">
        <v>0</v>
      </c>
      <c r="B4" s="59">
        <v>3.99</v>
      </c>
      <c r="C4" s="12" t="s">
        <v>4</v>
      </c>
      <c r="D4" s="12" t="s">
        <v>1</v>
      </c>
      <c r="E4" s="32">
        <v>17996.65</v>
      </c>
      <c r="F4" s="12" t="s">
        <v>2</v>
      </c>
      <c r="G4" s="12" t="s">
        <v>5</v>
      </c>
      <c r="H4" s="12">
        <f>B4*E4</f>
        <v>71806.63350000001</v>
      </c>
      <c r="I4" s="7" t="s">
        <v>3</v>
      </c>
      <c r="J4" s="7"/>
    </row>
    <row r="5" spans="1:10" ht="12.75">
      <c r="A5" s="12"/>
      <c r="B5" s="12"/>
      <c r="C5" s="12"/>
      <c r="D5" s="12"/>
      <c r="E5" s="12"/>
      <c r="F5" s="12"/>
      <c r="G5" s="12"/>
      <c r="H5" s="12"/>
      <c r="I5" s="7">
        <f>H19/E4</f>
        <v>3.992518599280636</v>
      </c>
      <c r="J5" s="7"/>
    </row>
    <row r="6" spans="1:10" ht="12.75">
      <c r="A6" s="12" t="s">
        <v>18</v>
      </c>
      <c r="B6" s="12"/>
      <c r="C6" s="12"/>
      <c r="D6" s="12"/>
      <c r="E6" s="12"/>
      <c r="F6" s="12"/>
      <c r="G6" s="12"/>
      <c r="H6" s="12">
        <f>H4</f>
        <v>71806.63350000001</v>
      </c>
      <c r="I6" s="7"/>
      <c r="J6" s="7"/>
    </row>
    <row r="7" spans="1:10" ht="12.75">
      <c r="A7" s="12"/>
      <c r="B7" s="12"/>
      <c r="C7" s="12"/>
      <c r="D7" s="12"/>
      <c r="E7" s="12"/>
      <c r="F7" s="12"/>
      <c r="G7" s="12"/>
      <c r="H7" s="12"/>
      <c r="I7" s="7"/>
      <c r="J7" s="7"/>
    </row>
    <row r="8" spans="1:10" ht="12.75">
      <c r="A8" s="12"/>
      <c r="B8" s="12"/>
      <c r="C8" s="12"/>
      <c r="D8" s="12"/>
      <c r="E8" s="12"/>
      <c r="F8" s="12"/>
      <c r="G8" s="12"/>
      <c r="H8" s="12"/>
      <c r="I8" s="7"/>
      <c r="J8" s="7"/>
    </row>
    <row r="9" spans="1:10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</row>
    <row r="10" spans="1:10" ht="12.75">
      <c r="A10" s="12"/>
      <c r="B10" s="12"/>
      <c r="C10" s="12"/>
      <c r="D10" s="12"/>
      <c r="E10" s="12"/>
      <c r="F10" s="12"/>
      <c r="G10" s="12"/>
      <c r="H10" s="12"/>
      <c r="I10" s="7"/>
      <c r="J10" s="7"/>
    </row>
    <row r="11" spans="1:10" ht="12.75">
      <c r="A11" s="32" t="s">
        <v>99</v>
      </c>
      <c r="B11" s="12"/>
      <c r="C11" s="12">
        <f>H6</f>
        <v>71806.63350000001</v>
      </c>
      <c r="D11" s="12" t="s">
        <v>1</v>
      </c>
      <c r="E11" s="40">
        <v>0.01</v>
      </c>
      <c r="F11" s="40"/>
      <c r="G11" s="12" t="s">
        <v>5</v>
      </c>
      <c r="H11" s="14">
        <f>C11*E11</f>
        <v>718.0663350000001</v>
      </c>
      <c r="I11" s="7"/>
      <c r="J11" s="7"/>
    </row>
    <row r="12" spans="1:10" ht="12.75">
      <c r="A12" s="12" t="str">
        <f>'тек рем'!A12</f>
        <v>Услуги ЕИРЦ</v>
      </c>
      <c r="B12" s="12"/>
      <c r="C12" s="12">
        <f>H6</f>
        <v>71806.63350000001</v>
      </c>
      <c r="D12" s="12" t="s">
        <v>1</v>
      </c>
      <c r="E12" s="41">
        <f>'тек рем'!E12</f>
        <v>0.0183</v>
      </c>
      <c r="F12" s="40"/>
      <c r="G12" s="12" t="s">
        <v>5</v>
      </c>
      <c r="H12" s="14">
        <f>C12*E12</f>
        <v>1314.06139305</v>
      </c>
      <c r="I12" s="7"/>
      <c r="J12" s="7"/>
    </row>
    <row r="13" spans="1:10" ht="12.75">
      <c r="A13" s="12" t="s">
        <v>8</v>
      </c>
      <c r="B13" s="12"/>
      <c r="C13" s="12"/>
      <c r="D13" s="12"/>
      <c r="E13" s="12"/>
      <c r="F13" s="12"/>
      <c r="G13" s="12"/>
      <c r="H13" s="12">
        <f>H14+H15</f>
        <v>35000</v>
      </c>
      <c r="I13" s="7"/>
      <c r="J13" s="7"/>
    </row>
    <row r="14" spans="1:10" ht="12.75">
      <c r="A14" s="12" t="s">
        <v>19</v>
      </c>
      <c r="B14" s="14" t="s">
        <v>21</v>
      </c>
      <c r="C14" s="12">
        <f>Лист1!I15/2</f>
        <v>7000</v>
      </c>
      <c r="D14" s="12" t="s">
        <v>1</v>
      </c>
      <c r="E14" s="12">
        <v>5</v>
      </c>
      <c r="F14" s="12"/>
      <c r="G14" s="12" t="s">
        <v>5</v>
      </c>
      <c r="H14" s="12">
        <f>C14*E14</f>
        <v>35000</v>
      </c>
      <c r="I14" s="7"/>
      <c r="J14" s="7"/>
    </row>
    <row r="15" spans="1:10" ht="12.75">
      <c r="A15" s="12" t="s">
        <v>20</v>
      </c>
      <c r="B15" s="12"/>
      <c r="C15" s="12"/>
      <c r="D15" s="12" t="s">
        <v>1</v>
      </c>
      <c r="E15" s="12"/>
      <c r="F15" s="12"/>
      <c r="G15" s="12" t="s">
        <v>5</v>
      </c>
      <c r="H15" s="12">
        <f>C15</f>
        <v>0</v>
      </c>
      <c r="I15" s="7"/>
      <c r="J15" s="7"/>
    </row>
    <row r="16" spans="1:10" ht="12.75">
      <c r="A16" s="95" t="s">
        <v>94</v>
      </c>
      <c r="B16" s="96"/>
      <c r="C16" s="12">
        <f>H16</f>
        <v>4000</v>
      </c>
      <c r="D16" s="12"/>
      <c r="E16" s="12"/>
      <c r="F16" s="12"/>
      <c r="G16" s="12"/>
      <c r="H16" s="12">
        <v>4000</v>
      </c>
      <c r="I16" s="7"/>
      <c r="J16" s="7"/>
    </row>
    <row r="17" spans="1:10" ht="12.75">
      <c r="A17" s="12" t="s">
        <v>78</v>
      </c>
      <c r="B17" s="12"/>
      <c r="C17" s="12">
        <f>H13</f>
        <v>35000</v>
      </c>
      <c r="D17" s="12" t="s">
        <v>1</v>
      </c>
      <c r="E17" s="15">
        <v>0.302</v>
      </c>
      <c r="F17" s="12"/>
      <c r="G17" s="12"/>
      <c r="H17" s="14">
        <f>C17*E17</f>
        <v>10570</v>
      </c>
      <c r="I17" s="7"/>
      <c r="J17" s="7"/>
    </row>
    <row r="18" spans="1:10" ht="12.75">
      <c r="A18" s="12" t="str">
        <f>'тек рем'!A18</f>
        <v>Управление ЖФ</v>
      </c>
      <c r="B18" s="40"/>
      <c r="C18" s="15">
        <f>B4/A1</f>
        <v>0.14128895184135978</v>
      </c>
      <c r="D18" s="12"/>
      <c r="E18" s="12"/>
      <c r="F18" s="12"/>
      <c r="G18" s="12"/>
      <c r="H18" s="14">
        <f>C18*Лист3!E24</f>
        <v>20249.832121693864</v>
      </c>
      <c r="I18" s="7"/>
      <c r="J18" s="7"/>
    </row>
    <row r="19" spans="1:10" ht="12.75">
      <c r="A19" s="2" t="s">
        <v>23</v>
      </c>
      <c r="B19" s="7"/>
      <c r="C19" s="7"/>
      <c r="D19" s="7"/>
      <c r="E19" s="7"/>
      <c r="F19" s="7"/>
      <c r="G19" s="7"/>
      <c r="H19" s="8">
        <f>H18+H17+H15+H14+H12+H11+H16</f>
        <v>71851.95984974386</v>
      </c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 t="s">
        <v>17</v>
      </c>
      <c r="C21" s="8">
        <f>H6-H19</f>
        <v>-45.32634974384564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8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>
        <v>10200</v>
      </c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>
        <f>I26/1.4</f>
        <v>7285.714285714286</v>
      </c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1">
    <mergeCell ref="A16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15.75390625" style="0" customWidth="1"/>
    <col min="3" max="3" width="11.1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7">
        <f>'Уборка придо тер'!A1</f>
        <v>28.24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37" t="s">
        <v>107</v>
      </c>
      <c r="B2" s="12"/>
      <c r="C2" s="38"/>
      <c r="D2" s="38"/>
      <c r="E2" s="12"/>
      <c r="F2" s="12"/>
      <c r="G2" s="12"/>
      <c r="H2" s="12"/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3.67</v>
      </c>
      <c r="C4" s="12" t="s">
        <v>4</v>
      </c>
      <c r="D4" s="12" t="s">
        <v>1</v>
      </c>
      <c r="E4" s="12">
        <v>17996.65</v>
      </c>
      <c r="F4" s="12" t="s">
        <v>2</v>
      </c>
      <c r="G4" s="12" t="s">
        <v>5</v>
      </c>
      <c r="H4" s="12">
        <f>B4*E4</f>
        <v>66047.70550000001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>
        <f>H17/E4</f>
        <v>3.6709574004546526</v>
      </c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66047.70550000001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66047.70550000001</v>
      </c>
      <c r="D11" s="12" t="s">
        <v>1</v>
      </c>
      <c r="E11" s="40">
        <v>0.01</v>
      </c>
      <c r="F11" s="40"/>
      <c r="G11" s="12" t="s">
        <v>5</v>
      </c>
      <c r="H11" s="14">
        <f>C11*E11</f>
        <v>660.4770550000002</v>
      </c>
      <c r="I11" s="7"/>
      <c r="J11" s="7"/>
      <c r="K11" s="7"/>
    </row>
    <row r="12" spans="1:11" ht="12.75">
      <c r="A12" s="12" t="str">
        <f>'Уборка придо тер'!A12</f>
        <v>Услуги ЕИРЦ</v>
      </c>
      <c r="B12" s="12"/>
      <c r="C12" s="12">
        <f>H6</f>
        <v>66047.70550000001</v>
      </c>
      <c r="D12" s="12" t="s">
        <v>1</v>
      </c>
      <c r="E12" s="41">
        <f>'Уборка придо тер'!E12</f>
        <v>0.0183</v>
      </c>
      <c r="F12" s="40"/>
      <c r="G12" s="12" t="s">
        <v>5</v>
      </c>
      <c r="H12" s="14">
        <f>C12*E12</f>
        <v>1208.6730106500002</v>
      </c>
      <c r="I12" s="7"/>
      <c r="J12" s="7"/>
      <c r="K12" s="7"/>
    </row>
    <row r="13" spans="1:11" ht="12.75">
      <c r="A13" s="12" t="s">
        <v>8</v>
      </c>
      <c r="B13" s="12"/>
      <c r="C13" s="12"/>
      <c r="D13" s="12"/>
      <c r="E13" s="12"/>
      <c r="F13" s="12"/>
      <c r="G13" s="12"/>
      <c r="H13" s="12">
        <f>SUM(H14:H14)</f>
        <v>35000</v>
      </c>
      <c r="I13" s="7"/>
      <c r="J13" s="7"/>
      <c r="K13" s="7"/>
    </row>
    <row r="14" spans="1:11" ht="12.75">
      <c r="A14" s="12" t="s">
        <v>19</v>
      </c>
      <c r="B14" s="14" t="s">
        <v>21</v>
      </c>
      <c r="C14" s="12">
        <f>'Уборка придо тер'!C14</f>
        <v>7000</v>
      </c>
      <c r="D14" s="12" t="s">
        <v>1</v>
      </c>
      <c r="E14" s="12">
        <v>5</v>
      </c>
      <c r="F14" s="12"/>
      <c r="G14" s="12" t="s">
        <v>5</v>
      </c>
      <c r="H14" s="12">
        <f>C14*E14</f>
        <v>35000</v>
      </c>
      <c r="I14" s="7"/>
      <c r="J14" s="7"/>
      <c r="K14" s="7"/>
    </row>
    <row r="15" spans="1:11" ht="12.75">
      <c r="A15" s="12" t="s">
        <v>78</v>
      </c>
      <c r="B15" s="12"/>
      <c r="C15" s="12">
        <f>H13</f>
        <v>35000</v>
      </c>
      <c r="D15" s="12" t="s">
        <v>1</v>
      </c>
      <c r="E15" s="15">
        <f>'Уборка придо тер'!E17</f>
        <v>0.302</v>
      </c>
      <c r="F15" s="12"/>
      <c r="G15" s="12"/>
      <c r="H15" s="14">
        <f>C15*E15</f>
        <v>10570</v>
      </c>
      <c r="I15" s="7"/>
      <c r="J15" s="7"/>
      <c r="K15" s="7"/>
    </row>
    <row r="16" spans="1:11" ht="12.75">
      <c r="A16" s="12" t="str">
        <f>'Уборка придо тер'!A18</f>
        <v>Управление ЖФ</v>
      </c>
      <c r="B16" s="40"/>
      <c r="C16" s="15">
        <f>B4/A1</f>
        <v>0.12995750708215298</v>
      </c>
      <c r="D16" s="12"/>
      <c r="E16" s="12"/>
      <c r="F16" s="12"/>
      <c r="G16" s="12"/>
      <c r="H16" s="14">
        <f>C16*Лист3!E24</f>
        <v>18625.785435242226</v>
      </c>
      <c r="I16" s="7"/>
      <c r="J16" s="7"/>
      <c r="K16" s="7"/>
    </row>
    <row r="17" spans="1:11" ht="12.75">
      <c r="A17" s="39" t="s">
        <v>23</v>
      </c>
      <c r="B17" s="12"/>
      <c r="C17" s="12"/>
      <c r="D17" s="12"/>
      <c r="E17" s="12"/>
      <c r="F17" s="12"/>
      <c r="G17" s="12"/>
      <c r="H17" s="14">
        <f>H16+H15+H14+H12+H11</f>
        <v>66064.93550089223</v>
      </c>
      <c r="I17" s="7"/>
      <c r="J17" s="7"/>
      <c r="K17" s="7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2.75">
      <c r="A19" s="7"/>
      <c r="B19" s="7" t="s">
        <v>17</v>
      </c>
      <c r="C19" s="8">
        <f>H6-H17</f>
        <v>-17.230000892217504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16.375" style="0" customWidth="1"/>
    <col min="2" max="2" width="10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0" ht="12.75">
      <c r="A1" s="7">
        <f>'Уборка лестничных клеток'!A1</f>
        <v>28.24</v>
      </c>
      <c r="B1" s="7"/>
      <c r="C1" s="7"/>
      <c r="D1" s="7"/>
      <c r="E1" s="7"/>
      <c r="F1" s="7"/>
      <c r="G1" s="7"/>
      <c r="H1" s="7"/>
      <c r="I1" s="4">
        <v>1.05</v>
      </c>
      <c r="J1" s="4"/>
    </row>
    <row r="2" spans="1:10" ht="12.75">
      <c r="A2" s="37" t="s">
        <v>42</v>
      </c>
      <c r="B2" s="12"/>
      <c r="C2" s="38"/>
      <c r="D2" s="38"/>
      <c r="E2" s="12"/>
      <c r="F2" s="12"/>
      <c r="G2" s="12"/>
      <c r="H2" s="12">
        <v>0.3</v>
      </c>
      <c r="I2" s="4"/>
      <c r="J2" s="4"/>
    </row>
    <row r="3" spans="1:10" ht="12.75">
      <c r="A3" s="37" t="s">
        <v>41</v>
      </c>
      <c r="B3" s="12"/>
      <c r="C3" s="12"/>
      <c r="D3" s="12"/>
      <c r="E3" s="12"/>
      <c r="F3" s="12"/>
      <c r="G3" s="12"/>
      <c r="H3" s="12">
        <v>0.94</v>
      </c>
      <c r="I3" s="7"/>
      <c r="J3" s="4"/>
    </row>
    <row r="4" spans="1:10" ht="12.75">
      <c r="A4" s="12" t="s">
        <v>0</v>
      </c>
      <c r="B4" s="14">
        <f>H3+H2</f>
        <v>1.24</v>
      </c>
      <c r="C4" s="12" t="s">
        <v>4</v>
      </c>
      <c r="D4" s="12" t="s">
        <v>1</v>
      </c>
      <c r="E4" s="12">
        <f>'тек рем'!E4</f>
        <v>17996.65</v>
      </c>
      <c r="F4" s="12" t="s">
        <v>2</v>
      </c>
      <c r="G4" s="12" t="s">
        <v>5</v>
      </c>
      <c r="H4" s="12">
        <f>B4*E4</f>
        <v>22315.846</v>
      </c>
      <c r="I4" s="7"/>
      <c r="J4" s="4"/>
    </row>
    <row r="5" spans="1:10" ht="12.75">
      <c r="A5" s="12"/>
      <c r="B5" s="12"/>
      <c r="C5" s="12"/>
      <c r="D5" s="12"/>
      <c r="E5" s="12"/>
      <c r="F5" s="12"/>
      <c r="G5" s="12"/>
      <c r="H5" s="12"/>
      <c r="I5" s="7"/>
      <c r="J5" s="4"/>
    </row>
    <row r="6" spans="1:10" ht="12.75">
      <c r="A6" s="12" t="s">
        <v>18</v>
      </c>
      <c r="B6" s="12"/>
      <c r="C6" s="12"/>
      <c r="D6" s="12"/>
      <c r="E6" s="12"/>
      <c r="F6" s="12"/>
      <c r="G6" s="12"/>
      <c r="H6" s="12">
        <f>H4</f>
        <v>22315.846</v>
      </c>
      <c r="I6" s="7"/>
      <c r="J6" s="4"/>
    </row>
    <row r="7" spans="1:10" ht="12.75">
      <c r="A7" s="12"/>
      <c r="B7" s="12"/>
      <c r="C7" s="12"/>
      <c r="D7" s="12"/>
      <c r="E7" s="12"/>
      <c r="F7" s="12"/>
      <c r="G7" s="12"/>
      <c r="H7" s="12"/>
      <c r="I7" s="7"/>
      <c r="J7" s="4"/>
    </row>
    <row r="8" spans="1:10" ht="12.75">
      <c r="A8" s="12"/>
      <c r="B8" s="12"/>
      <c r="C8" s="12"/>
      <c r="D8" s="12"/>
      <c r="E8" s="12"/>
      <c r="F8" s="12"/>
      <c r="G8" s="12"/>
      <c r="H8" s="12"/>
      <c r="I8" s="7"/>
      <c r="J8" s="4"/>
    </row>
    <row r="9" spans="1:9" ht="12.75">
      <c r="A9" s="39" t="s">
        <v>7</v>
      </c>
      <c r="B9" s="12"/>
      <c r="C9" s="12"/>
      <c r="D9" s="12"/>
      <c r="E9" s="12"/>
      <c r="F9" s="12"/>
      <c r="G9" s="12"/>
      <c r="H9" s="12"/>
      <c r="I9" s="7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7"/>
    </row>
    <row r="11" spans="1:9" ht="12.75">
      <c r="A11" s="32" t="s">
        <v>99</v>
      </c>
      <c r="B11" s="12"/>
      <c r="C11" s="12">
        <f>H6</f>
        <v>22315.846</v>
      </c>
      <c r="D11" s="12" t="s">
        <v>1</v>
      </c>
      <c r="E11" s="40">
        <v>0.01</v>
      </c>
      <c r="F11" s="40"/>
      <c r="G11" s="12" t="s">
        <v>5</v>
      </c>
      <c r="H11" s="14">
        <f>C11*E11</f>
        <v>223.15846000000002</v>
      </c>
      <c r="I11" s="7"/>
    </row>
    <row r="12" spans="1:9" ht="12.75">
      <c r="A12" s="12" t="str">
        <f>'Уборка лестничных клеток'!A12</f>
        <v>Услуги ЕИРЦ</v>
      </c>
      <c r="B12" s="12"/>
      <c r="C12" s="12">
        <f>H6</f>
        <v>22315.846</v>
      </c>
      <c r="D12" s="12" t="s">
        <v>1</v>
      </c>
      <c r="E12" s="41">
        <f>'Уборка лестничных клеток'!E12</f>
        <v>0.0183</v>
      </c>
      <c r="F12" s="40"/>
      <c r="G12" s="12" t="s">
        <v>5</v>
      </c>
      <c r="H12" s="14">
        <f>C12*E12</f>
        <v>408.37998180000005</v>
      </c>
      <c r="I12" s="7"/>
    </row>
    <row r="13" spans="1:9" ht="12.75">
      <c r="A13" s="12" t="s">
        <v>26</v>
      </c>
      <c r="B13" s="12"/>
      <c r="C13" s="12"/>
      <c r="D13" s="12"/>
      <c r="E13" s="12"/>
      <c r="F13" s="12"/>
      <c r="G13" s="12"/>
      <c r="H13" s="12">
        <f>H14/'тек рем'!I1*'тек рем'!E4</f>
        <v>7843.040470254972</v>
      </c>
      <c r="I13" s="7"/>
    </row>
    <row r="14" spans="1:9" ht="12.75">
      <c r="A14" s="12" t="s">
        <v>28</v>
      </c>
      <c r="B14" s="14"/>
      <c r="C14" s="12">
        <f>Лист1!G5</f>
        <v>8400</v>
      </c>
      <c r="D14" s="12" t="s">
        <v>1</v>
      </c>
      <c r="E14" s="12">
        <f>Лист1!B5</f>
        <v>0.5</v>
      </c>
      <c r="F14" s="12"/>
      <c r="G14" s="12" t="s">
        <v>5</v>
      </c>
      <c r="H14" s="12">
        <f>C14</f>
        <v>8400</v>
      </c>
      <c r="I14" s="7"/>
    </row>
    <row r="15" spans="1:9" ht="12.75">
      <c r="A15" s="12" t="s">
        <v>78</v>
      </c>
      <c r="B15" s="12"/>
      <c r="C15" s="12">
        <f>H13</f>
        <v>7843.040470254972</v>
      </c>
      <c r="D15" s="12" t="s">
        <v>1</v>
      </c>
      <c r="E15" s="15">
        <f>'Уборка лестничных клеток'!E15</f>
        <v>0.302</v>
      </c>
      <c r="F15" s="12"/>
      <c r="G15" s="12"/>
      <c r="H15" s="14">
        <f>C15*E15</f>
        <v>2368.5982220170017</v>
      </c>
      <c r="I15" s="7"/>
    </row>
    <row r="16" spans="1:9" ht="12.75">
      <c r="A16" s="12" t="s">
        <v>29</v>
      </c>
      <c r="B16" s="12"/>
      <c r="C16" s="12"/>
      <c r="D16" s="12"/>
      <c r="E16" s="15"/>
      <c r="F16" s="12"/>
      <c r="G16" s="12"/>
      <c r="H16" s="14">
        <f>5500/'тек рем'!I1*'тек рем'!E4</f>
        <v>5135.3241174288505</v>
      </c>
      <c r="I16" s="7"/>
    </row>
    <row r="17" spans="1:9" ht="12.75">
      <c r="A17" s="12" t="str">
        <f>'Уборка лестничных клеток'!A16</f>
        <v>Управление ЖФ</v>
      </c>
      <c r="B17" s="40"/>
      <c r="C17" s="15">
        <f>B4/A1</f>
        <v>0.04390934844192635</v>
      </c>
      <c r="D17" s="12"/>
      <c r="E17" s="12"/>
      <c r="F17" s="12"/>
      <c r="G17" s="12"/>
      <c r="H17" s="14">
        <f>C17*Лист3!E24</f>
        <v>6293.180910000098</v>
      </c>
      <c r="I17" s="7"/>
    </row>
    <row r="18" spans="1:9" ht="12.75">
      <c r="A18" s="39" t="s">
        <v>23</v>
      </c>
      <c r="B18" s="12"/>
      <c r="C18" s="12"/>
      <c r="D18" s="12"/>
      <c r="E18" s="12"/>
      <c r="F18" s="12"/>
      <c r="G18" s="12"/>
      <c r="H18" s="14">
        <f>H11+H12+H13+H15+H16+H17</f>
        <v>22271.682161500925</v>
      </c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 t="s">
        <v>17</v>
      </c>
      <c r="C20" s="8">
        <f>H6-H18</f>
        <v>44.16383849907652</v>
      </c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8" ht="12.75">
      <c r="A28" s="7"/>
      <c r="B28" s="7"/>
      <c r="C28" s="7"/>
      <c r="D28" s="7"/>
      <c r="E28" s="7"/>
      <c r="F28" s="7"/>
      <c r="G28" s="7"/>
      <c r="H28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4.875" style="0" customWidth="1"/>
    <col min="2" max="2" width="14.125" style="0" customWidth="1"/>
    <col min="3" max="3" width="10.2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1.00390625" style="0" customWidth="1"/>
  </cols>
  <sheetData>
    <row r="1" spans="1:10" ht="12.75">
      <c r="A1" s="7">
        <f>электрик!A1</f>
        <v>28.24</v>
      </c>
      <c r="B1" s="7"/>
      <c r="C1" s="7"/>
      <c r="D1" s="7"/>
      <c r="E1" s="7"/>
      <c r="F1" s="7"/>
      <c r="G1" s="7"/>
      <c r="H1" s="7"/>
      <c r="I1" s="7"/>
      <c r="J1" s="4"/>
    </row>
    <row r="2" spans="1:10" ht="12.75">
      <c r="A2" s="37" t="s">
        <v>30</v>
      </c>
      <c r="B2" s="12"/>
      <c r="C2" s="38"/>
      <c r="D2" s="38"/>
      <c r="E2" s="12"/>
      <c r="F2" s="12"/>
      <c r="G2" s="12"/>
      <c r="H2" s="12"/>
      <c r="I2" s="7"/>
      <c r="J2" s="4"/>
    </row>
    <row r="3" spans="1:10" ht="12.75">
      <c r="A3" s="12"/>
      <c r="B3" s="12"/>
      <c r="C3" s="12"/>
      <c r="D3" s="12"/>
      <c r="E3" s="12"/>
      <c r="F3" s="12"/>
      <c r="G3" s="12"/>
      <c r="H3" s="12"/>
      <c r="I3" s="7"/>
      <c r="J3" s="4"/>
    </row>
    <row r="4" spans="1:10" ht="12.75">
      <c r="A4" s="12" t="s">
        <v>0</v>
      </c>
      <c r="B4" s="14">
        <v>1.43</v>
      </c>
      <c r="C4" s="12" t="s">
        <v>4</v>
      </c>
      <c r="D4" s="12" t="s">
        <v>1</v>
      </c>
      <c r="E4" s="12">
        <v>17996.65</v>
      </c>
      <c r="F4" s="12" t="s">
        <v>2</v>
      </c>
      <c r="G4" s="12" t="s">
        <v>5</v>
      </c>
      <c r="H4" s="12">
        <f>B4*E4</f>
        <v>25735.2095</v>
      </c>
      <c r="I4" s="7">
        <f>H19/E4</f>
        <v>1.4301378344820153</v>
      </c>
      <c r="J4" s="4"/>
    </row>
    <row r="5" spans="1:10" ht="12.75">
      <c r="A5" s="12"/>
      <c r="B5" s="12"/>
      <c r="C5" s="12"/>
      <c r="D5" s="12"/>
      <c r="E5" s="12"/>
      <c r="F5" s="12"/>
      <c r="G5" s="12"/>
      <c r="H5" s="12"/>
      <c r="I5" s="7"/>
      <c r="J5" s="4"/>
    </row>
    <row r="6" spans="1:10" ht="12.75">
      <c r="A6" s="12" t="s">
        <v>18</v>
      </c>
      <c r="B6" s="12"/>
      <c r="C6" s="12"/>
      <c r="D6" s="12"/>
      <c r="E6" s="12"/>
      <c r="F6" s="12"/>
      <c r="G6" s="12"/>
      <c r="H6" s="12">
        <f>H4</f>
        <v>25735.2095</v>
      </c>
      <c r="I6" s="7"/>
      <c r="J6" s="4"/>
    </row>
    <row r="7" spans="1:10" ht="12.75">
      <c r="A7" s="12"/>
      <c r="B7" s="12"/>
      <c r="C7" s="12"/>
      <c r="D7" s="12"/>
      <c r="E7" s="12"/>
      <c r="F7" s="12"/>
      <c r="G7" s="12"/>
      <c r="H7" s="12"/>
      <c r="I7" s="7"/>
      <c r="J7" s="4"/>
    </row>
    <row r="8" spans="1:10" ht="12.75">
      <c r="A8" s="12"/>
      <c r="B8" s="12"/>
      <c r="C8" s="12"/>
      <c r="D8" s="12"/>
      <c r="E8" s="12"/>
      <c r="F8" s="12"/>
      <c r="G8" s="12"/>
      <c r="H8" s="12"/>
      <c r="I8" s="7"/>
      <c r="J8" s="4"/>
    </row>
    <row r="9" spans="1:9" ht="12.75">
      <c r="A9" s="39" t="s">
        <v>7</v>
      </c>
      <c r="B9" s="12"/>
      <c r="C9" s="12"/>
      <c r="D9" s="12"/>
      <c r="E9" s="12"/>
      <c r="F9" s="12"/>
      <c r="G9" s="12"/>
      <c r="H9" s="12"/>
      <c r="I9" s="7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7"/>
    </row>
    <row r="11" spans="1:9" ht="12.75">
      <c r="A11" s="32" t="s">
        <v>99</v>
      </c>
      <c r="B11" s="12"/>
      <c r="C11" s="12">
        <f>H6</f>
        <v>25735.2095</v>
      </c>
      <c r="D11" s="12" t="s">
        <v>1</v>
      </c>
      <c r="E11" s="40">
        <v>0.01</v>
      </c>
      <c r="F11" s="40"/>
      <c r="G11" s="12" t="s">
        <v>5</v>
      </c>
      <c r="H11" s="14">
        <f>C11*E11</f>
        <v>257.352095</v>
      </c>
      <c r="I11" s="7"/>
    </row>
    <row r="12" spans="1:9" ht="12.75">
      <c r="A12" s="12" t="str">
        <f>электрик!A12</f>
        <v>Услуги ЕИРЦ</v>
      </c>
      <c r="B12" s="12"/>
      <c r="C12" s="12">
        <f>H6</f>
        <v>25735.2095</v>
      </c>
      <c r="D12" s="12" t="s">
        <v>1</v>
      </c>
      <c r="E12" s="41">
        <f>электрик!E12</f>
        <v>0.0183</v>
      </c>
      <c r="F12" s="40"/>
      <c r="G12" s="12" t="s">
        <v>5</v>
      </c>
      <c r="H12" s="14">
        <f>C12*E12</f>
        <v>470.95433385</v>
      </c>
      <c r="I12" s="7"/>
    </row>
    <row r="13" spans="1:9" ht="12.75">
      <c r="A13" s="12" t="s">
        <v>36</v>
      </c>
      <c r="B13" s="54" t="s">
        <v>33</v>
      </c>
      <c r="C13" s="12" t="s">
        <v>34</v>
      </c>
      <c r="D13" s="12"/>
      <c r="E13" s="15" t="s">
        <v>35</v>
      </c>
      <c r="F13" s="12"/>
      <c r="G13" s="12"/>
      <c r="H13" s="14">
        <f>H14+H15</f>
        <v>99173.1</v>
      </c>
      <c r="I13" s="7"/>
    </row>
    <row r="14" spans="1:9" ht="12.75">
      <c r="A14" s="12" t="s">
        <v>31</v>
      </c>
      <c r="B14" s="12"/>
      <c r="C14" s="14"/>
      <c r="D14" s="12" t="s">
        <v>1</v>
      </c>
      <c r="E14" s="15"/>
      <c r="F14" s="12"/>
      <c r="G14" s="12" t="s">
        <v>5</v>
      </c>
      <c r="H14" s="14">
        <f>B14*C14*1.1</f>
        <v>0</v>
      </c>
      <c r="I14" s="7"/>
    </row>
    <row r="15" spans="1:9" ht="12.75">
      <c r="A15" s="12" t="s">
        <v>32</v>
      </c>
      <c r="B15" s="58">
        <v>130</v>
      </c>
      <c r="C15" s="12">
        <v>762.87</v>
      </c>
      <c r="D15" s="12" t="s">
        <v>1</v>
      </c>
      <c r="E15" s="15"/>
      <c r="F15" s="12"/>
      <c r="G15" s="12" t="s">
        <v>5</v>
      </c>
      <c r="H15" s="14">
        <f>B15*C15</f>
        <v>99173.1</v>
      </c>
      <c r="I15" s="7"/>
    </row>
    <row r="16" spans="1:9" ht="12.75">
      <c r="A16" s="12"/>
      <c r="B16" s="14">
        <f>H13</f>
        <v>99173.1</v>
      </c>
      <c r="C16" s="94" t="s">
        <v>136</v>
      </c>
      <c r="D16" s="12"/>
      <c r="E16" s="15"/>
      <c r="F16" s="12"/>
      <c r="G16" s="12" t="s">
        <v>5</v>
      </c>
      <c r="H16" s="14">
        <f>H13/12</f>
        <v>8264.425000000001</v>
      </c>
      <c r="I16" s="7"/>
    </row>
    <row r="17" spans="1:9" ht="12.75">
      <c r="A17" s="32" t="s">
        <v>98</v>
      </c>
      <c r="B17" s="57">
        <v>345</v>
      </c>
      <c r="C17" s="54">
        <v>300</v>
      </c>
      <c r="D17" s="12"/>
      <c r="E17" s="56">
        <v>0.1</v>
      </c>
      <c r="F17" s="12"/>
      <c r="G17" s="12"/>
      <c r="H17" s="14">
        <f>B17*C17*(E17+1)/12</f>
        <v>9487.500000000002</v>
      </c>
      <c r="I17" s="7"/>
    </row>
    <row r="18" spans="1:9" ht="12.75">
      <c r="A18" s="12" t="str">
        <f>электрик!A17</f>
        <v>Управление ЖФ</v>
      </c>
      <c r="B18" s="40"/>
      <c r="C18" s="15">
        <f>B4/A1</f>
        <v>0.05063739376770538</v>
      </c>
      <c r="D18" s="12"/>
      <c r="E18" s="12"/>
      <c r="F18" s="12"/>
      <c r="G18" s="12"/>
      <c r="H18" s="14">
        <f>C18*Лист3!E24</f>
        <v>7257.458630080758</v>
      </c>
      <c r="I18" s="7"/>
    </row>
    <row r="19" spans="1:9" ht="12.75">
      <c r="A19" s="39" t="s">
        <v>23</v>
      </c>
      <c r="B19" s="12"/>
      <c r="C19" s="12"/>
      <c r="D19" s="12"/>
      <c r="E19" s="12"/>
      <c r="F19" s="12"/>
      <c r="G19" s="12"/>
      <c r="H19" s="14">
        <f>H18+H12+H11+H16+H17</f>
        <v>25737.690058930762</v>
      </c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 t="s">
        <v>17</v>
      </c>
      <c r="C21" s="8">
        <f>H6-H19</f>
        <v>-2.4805589307616174</v>
      </c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0" ht="12.75">
      <c r="A1" s="7">
        <f>ВДГО!A1</f>
        <v>28.24</v>
      </c>
      <c r="B1" s="7"/>
      <c r="C1" s="7"/>
      <c r="D1" s="7"/>
      <c r="E1" s="7"/>
      <c r="F1" s="7"/>
      <c r="G1" s="7"/>
      <c r="H1" s="7"/>
      <c r="I1" s="7"/>
      <c r="J1" s="4"/>
    </row>
    <row r="2" spans="1:10" ht="12.75">
      <c r="A2" s="37" t="s">
        <v>50</v>
      </c>
      <c r="B2" s="12"/>
      <c r="C2" s="38"/>
      <c r="D2" s="38"/>
      <c r="E2" s="12"/>
      <c r="F2" s="12"/>
      <c r="G2" s="12"/>
      <c r="H2" s="12"/>
      <c r="I2" s="7"/>
      <c r="J2" s="4"/>
    </row>
    <row r="3" spans="1:10" ht="12.75">
      <c r="A3" s="12"/>
      <c r="B3" s="12"/>
      <c r="C3" s="12"/>
      <c r="D3" s="12"/>
      <c r="E3" s="12"/>
      <c r="F3" s="12"/>
      <c r="G3" s="12"/>
      <c r="H3" s="12"/>
      <c r="I3" s="7"/>
      <c r="J3" s="4"/>
    </row>
    <row r="4" spans="1:10" ht="12.75">
      <c r="A4" s="12" t="s">
        <v>0</v>
      </c>
      <c r="B4" s="14">
        <v>0.31</v>
      </c>
      <c r="C4" s="12" t="s">
        <v>4</v>
      </c>
      <c r="D4" s="12" t="s">
        <v>1</v>
      </c>
      <c r="E4" s="12">
        <f>электрик!E4</f>
        <v>17996.65</v>
      </c>
      <c r="F4" s="12" t="s">
        <v>2</v>
      </c>
      <c r="G4" s="12" t="s">
        <v>5</v>
      </c>
      <c r="H4" s="12">
        <f>B4*E4</f>
        <v>5578.9615</v>
      </c>
      <c r="I4" s="7"/>
      <c r="J4" s="4"/>
    </row>
    <row r="5" spans="1:10" ht="12.75">
      <c r="A5" s="12"/>
      <c r="B5" s="12"/>
      <c r="C5" s="12"/>
      <c r="D5" s="12"/>
      <c r="E5" s="12"/>
      <c r="F5" s="12"/>
      <c r="G5" s="12"/>
      <c r="H5" s="12"/>
      <c r="I5" s="7"/>
      <c r="J5" s="4"/>
    </row>
    <row r="6" spans="1:10" ht="12.75">
      <c r="A6" s="12" t="s">
        <v>18</v>
      </c>
      <c r="B6" s="12"/>
      <c r="C6" s="12"/>
      <c r="D6" s="12"/>
      <c r="E6" s="12"/>
      <c r="F6" s="12"/>
      <c r="G6" s="12"/>
      <c r="H6" s="12">
        <f>H4</f>
        <v>5578.9615</v>
      </c>
      <c r="I6" s="7"/>
      <c r="J6" s="4"/>
    </row>
    <row r="7" spans="1:9" ht="12.75">
      <c r="A7" s="12"/>
      <c r="B7" s="12"/>
      <c r="C7" s="12"/>
      <c r="D7" s="12"/>
      <c r="E7" s="12"/>
      <c r="F7" s="12"/>
      <c r="G7" s="12"/>
      <c r="H7" s="12"/>
      <c r="I7" s="7"/>
    </row>
    <row r="8" spans="1:9" ht="12.75">
      <c r="A8" s="12"/>
      <c r="B8" s="12"/>
      <c r="C8" s="12"/>
      <c r="D8" s="12"/>
      <c r="E8" s="12"/>
      <c r="F8" s="12"/>
      <c r="G8" s="12"/>
      <c r="H8" s="12"/>
      <c r="I8" s="7"/>
    </row>
    <row r="9" spans="1:9" ht="12.75">
      <c r="A9" s="39" t="s">
        <v>7</v>
      </c>
      <c r="B9" s="12"/>
      <c r="C9" s="12"/>
      <c r="D9" s="12"/>
      <c r="E9" s="12"/>
      <c r="F9" s="12"/>
      <c r="G9" s="12"/>
      <c r="H9" s="12"/>
      <c r="I9" s="7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7"/>
    </row>
    <row r="11" spans="1:9" ht="12.75">
      <c r="A11" s="32" t="s">
        <v>99</v>
      </c>
      <c r="B11" s="12"/>
      <c r="C11" s="12">
        <f>H6</f>
        <v>5578.9615</v>
      </c>
      <c r="D11" s="12" t="s">
        <v>1</v>
      </c>
      <c r="E11" s="40">
        <v>0.01</v>
      </c>
      <c r="F11" s="40"/>
      <c r="G11" s="12" t="s">
        <v>5</v>
      </c>
      <c r="H11" s="14">
        <f>C11*E11</f>
        <v>55.789615000000005</v>
      </c>
      <c r="I11" s="7"/>
    </row>
    <row r="12" spans="1:9" ht="12.75">
      <c r="A12" s="12" t="str">
        <f>ВДГО!A12</f>
        <v>Услуги ЕИРЦ</v>
      </c>
      <c r="B12" s="12"/>
      <c r="C12" s="12">
        <f>H6</f>
        <v>5578.9615</v>
      </c>
      <c r="D12" s="12" t="s">
        <v>1</v>
      </c>
      <c r="E12" s="41">
        <f>ВДГО!E12</f>
        <v>0.0183</v>
      </c>
      <c r="F12" s="40"/>
      <c r="G12" s="12" t="s">
        <v>5</v>
      </c>
      <c r="H12" s="14">
        <f>C12*E12</f>
        <v>102.09499545000001</v>
      </c>
      <c r="I12" s="7"/>
    </row>
    <row r="13" spans="1:9" ht="12.75">
      <c r="A13" s="12" t="s">
        <v>9</v>
      </c>
      <c r="B13" s="12"/>
      <c r="C13" s="54">
        <v>150000</v>
      </c>
      <c r="D13" s="12" t="s">
        <v>48</v>
      </c>
      <c r="E13" s="55" t="s">
        <v>49</v>
      </c>
      <c r="F13" s="12"/>
      <c r="G13" s="12" t="s">
        <v>5</v>
      </c>
      <c r="H13" s="14">
        <f>C13/36/'тек рем'!I1*'тек рем'!E4</f>
        <v>3890.397058658221</v>
      </c>
      <c r="I13" s="7"/>
    </row>
    <row r="14" spans="1:9" ht="12.75">
      <c r="A14" s="12" t="str">
        <f>ВДГО!A18</f>
        <v>Управление ЖФ</v>
      </c>
      <c r="B14" s="40"/>
      <c r="C14" s="15">
        <f>B4/A1</f>
        <v>0.010977337110481588</v>
      </c>
      <c r="D14" s="12"/>
      <c r="E14" s="12"/>
      <c r="F14" s="12"/>
      <c r="G14" s="12"/>
      <c r="H14" s="14">
        <f>C14*Лист3!E24</f>
        <v>1573.2952275000246</v>
      </c>
      <c r="I14" s="7"/>
    </row>
    <row r="15" spans="1:9" ht="12.75">
      <c r="A15" s="39" t="s">
        <v>23</v>
      </c>
      <c r="B15" s="12"/>
      <c r="C15" s="12"/>
      <c r="D15" s="12"/>
      <c r="E15" s="12"/>
      <c r="F15" s="12"/>
      <c r="G15" s="12"/>
      <c r="H15" s="14">
        <f>H14+H12+H11+H13</f>
        <v>5621.576896608245</v>
      </c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8">
        <f>H6-H15</f>
        <v>-42.61539660824474</v>
      </c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6:9" ht="12.75">
      <c r="F25" s="7"/>
      <c r="G25" s="7"/>
      <c r="H25" s="7"/>
      <c r="I25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J4" sqref="J4"/>
    </sheetView>
  </sheetViews>
  <sheetFormatPr defaultColWidth="9.00390625" defaultRowHeight="12.75"/>
  <cols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2">
        <f>Изоляция!A1</f>
        <v>28.24</v>
      </c>
      <c r="B1" s="12"/>
      <c r="C1" s="12"/>
      <c r="D1" s="12"/>
      <c r="E1" s="12"/>
      <c r="F1" s="12"/>
      <c r="G1" s="12"/>
      <c r="H1" s="12"/>
      <c r="I1" s="12"/>
      <c r="J1" s="12"/>
      <c r="K1" s="7"/>
    </row>
    <row r="2" spans="1:11" ht="12.75">
      <c r="A2" s="37" t="s">
        <v>37</v>
      </c>
      <c r="B2" s="12"/>
      <c r="C2" s="38"/>
      <c r="D2" s="38"/>
      <c r="E2" s="12"/>
      <c r="F2" s="12"/>
      <c r="G2" s="12"/>
      <c r="H2" s="12"/>
      <c r="I2" s="12"/>
      <c r="J2" s="12">
        <v>4</v>
      </c>
      <c r="K2" s="7"/>
    </row>
    <row r="3" spans="1:11" ht="12.75">
      <c r="A3" s="37" t="s">
        <v>38</v>
      </c>
      <c r="B3" s="12"/>
      <c r="C3" s="38"/>
      <c r="D3" s="38"/>
      <c r="E3" s="12"/>
      <c r="F3" s="12"/>
      <c r="G3" s="12"/>
      <c r="H3" s="12"/>
      <c r="I3" s="12"/>
      <c r="J3" s="12">
        <v>1.99</v>
      </c>
      <c r="K3" s="7"/>
    </row>
    <row r="4" spans="1:11" ht="12.75">
      <c r="A4" s="37" t="s">
        <v>39</v>
      </c>
      <c r="B4" s="12"/>
      <c r="C4" s="38"/>
      <c r="D4" s="38"/>
      <c r="E4" s="12"/>
      <c r="F4" s="12"/>
      <c r="G4" s="12"/>
      <c r="H4" s="12"/>
      <c r="I4" s="12"/>
      <c r="J4" s="12">
        <v>1</v>
      </c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12"/>
      <c r="J5" s="14"/>
      <c r="K5" s="7"/>
    </row>
    <row r="6" spans="1:11" ht="12.75">
      <c r="A6" s="12" t="s">
        <v>0</v>
      </c>
      <c r="B6" s="14">
        <f>J2+J3+J4</f>
        <v>6.99</v>
      </c>
      <c r="C6" s="12" t="s">
        <v>4</v>
      </c>
      <c r="D6" s="12" t="s">
        <v>1</v>
      </c>
      <c r="E6" s="12">
        <f>Изоляция!E4</f>
        <v>17996.65</v>
      </c>
      <c r="F6" s="12" t="s">
        <v>2</v>
      </c>
      <c r="G6" s="12" t="s">
        <v>5</v>
      </c>
      <c r="H6" s="12">
        <f>B6*E6</f>
        <v>125796.58350000001</v>
      </c>
      <c r="I6" s="12" t="s">
        <v>3</v>
      </c>
      <c r="J6" s="12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7"/>
    </row>
    <row r="8" spans="1:11" ht="12.75">
      <c r="A8" s="12" t="s">
        <v>18</v>
      </c>
      <c r="B8" s="12"/>
      <c r="C8" s="12"/>
      <c r="D8" s="12"/>
      <c r="E8" s="12"/>
      <c r="F8" s="12"/>
      <c r="G8" s="12"/>
      <c r="H8" s="12">
        <f>H6</f>
        <v>125796.58350000001</v>
      </c>
      <c r="I8" s="12"/>
      <c r="J8" s="12"/>
      <c r="K8" s="7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7"/>
    </row>
    <row r="11" spans="1:11" ht="12.75">
      <c r="A11" s="39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7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7"/>
    </row>
    <row r="13" spans="1:11" ht="12.75">
      <c r="A13" s="32" t="s">
        <v>99</v>
      </c>
      <c r="B13" s="12"/>
      <c r="C13" s="12">
        <f>H8</f>
        <v>125796.58350000001</v>
      </c>
      <c r="D13" s="12" t="s">
        <v>1</v>
      </c>
      <c r="E13" s="40">
        <v>0.01</v>
      </c>
      <c r="F13" s="40"/>
      <c r="G13" s="12" t="s">
        <v>5</v>
      </c>
      <c r="H13" s="14">
        <f>C13*E13</f>
        <v>1257.9658350000002</v>
      </c>
      <c r="I13" s="12"/>
      <c r="J13" s="12"/>
      <c r="K13" s="7"/>
    </row>
    <row r="14" spans="1:11" ht="12.75">
      <c r="A14" s="12" t="str">
        <f>Изоляция!A12</f>
        <v>Услуги ЕИРЦ</v>
      </c>
      <c r="B14" s="12"/>
      <c r="C14" s="12">
        <f>H8</f>
        <v>125796.58350000001</v>
      </c>
      <c r="D14" s="12" t="s">
        <v>1</v>
      </c>
      <c r="E14" s="41">
        <f>Изоляция!E12</f>
        <v>0.0183</v>
      </c>
      <c r="F14" s="40"/>
      <c r="G14" s="12" t="s">
        <v>5</v>
      </c>
      <c r="H14" s="14">
        <f>C14*E14</f>
        <v>2302.07747805</v>
      </c>
      <c r="I14" s="12"/>
      <c r="J14" s="12"/>
      <c r="K14" s="7"/>
    </row>
    <row r="15" spans="1:11" ht="12.75">
      <c r="A15" s="12" t="s">
        <v>26</v>
      </c>
      <c r="B15" s="12"/>
      <c r="C15" s="12"/>
      <c r="D15" s="12"/>
      <c r="E15" s="12"/>
      <c r="F15" s="12"/>
      <c r="G15" s="12"/>
      <c r="H15" s="12">
        <f>SUM(H16:H17)/'тек рем'!I1*'тек рем'!E4</f>
        <v>66665.84399716726</v>
      </c>
      <c r="I15" s="12"/>
      <c r="J15" s="12"/>
      <c r="K15" s="7"/>
    </row>
    <row r="16" spans="1:11" ht="12.75">
      <c r="A16" s="12" t="str">
        <f>Лист1!A7</f>
        <v>РКО</v>
      </c>
      <c r="B16" s="14"/>
      <c r="C16" s="12">
        <f>Лист1!I7</f>
        <v>23800</v>
      </c>
      <c r="D16" s="12" t="s">
        <v>1</v>
      </c>
      <c r="E16" s="12">
        <f>Лист1!B7</f>
        <v>3</v>
      </c>
      <c r="F16" s="12"/>
      <c r="G16" s="12" t="s">
        <v>5</v>
      </c>
      <c r="H16" s="12">
        <f>C16*E16</f>
        <v>71400</v>
      </c>
      <c r="I16" s="12"/>
      <c r="J16" s="12"/>
      <c r="K16" s="7"/>
    </row>
    <row r="17" spans="1:11" ht="12.75">
      <c r="A17" s="12" t="s">
        <v>27</v>
      </c>
      <c r="B17" s="12"/>
      <c r="C17" s="12">
        <f>Лист1!G11</f>
        <v>0</v>
      </c>
      <c r="D17" s="12" t="s">
        <v>1</v>
      </c>
      <c r="E17" s="12">
        <f>Лист1!B11</f>
        <v>0</v>
      </c>
      <c r="F17" s="12"/>
      <c r="G17" s="12" t="s">
        <v>5</v>
      </c>
      <c r="H17" s="12">
        <f>C17*E17</f>
        <v>0</v>
      </c>
      <c r="I17" s="12"/>
      <c r="J17" s="12"/>
      <c r="K17" s="7"/>
    </row>
    <row r="18" spans="1:11" ht="12.75">
      <c r="A18" s="12" t="s">
        <v>78</v>
      </c>
      <c r="B18" s="12"/>
      <c r="C18" s="12">
        <f>H15</f>
        <v>66665.84399716726</v>
      </c>
      <c r="D18" s="12" t="s">
        <v>1</v>
      </c>
      <c r="E18" s="15">
        <f>'Уборка лестничных клеток'!E15</f>
        <v>0.302</v>
      </c>
      <c r="F18" s="12"/>
      <c r="G18" s="12"/>
      <c r="H18" s="14">
        <f>C18*E18</f>
        <v>20133.084887144512</v>
      </c>
      <c r="I18" s="12"/>
      <c r="J18" s="12"/>
      <c r="K18" s="7"/>
    </row>
    <row r="19" spans="1:11" ht="12.75">
      <c r="A19" s="12" t="str">
        <f>Изоляция!A14</f>
        <v>Управление ЖФ</v>
      </c>
      <c r="B19" s="40"/>
      <c r="C19" s="15">
        <f>B6/A1</f>
        <v>0.24752124645892354</v>
      </c>
      <c r="D19" s="12"/>
      <c r="E19" s="12"/>
      <c r="F19" s="12"/>
      <c r="G19" s="12"/>
      <c r="H19" s="14">
        <f>C19*Лист3!E24</f>
        <v>35475.269807177974</v>
      </c>
      <c r="I19" s="12"/>
      <c r="J19" s="12"/>
      <c r="K19" s="7"/>
    </row>
    <row r="20" spans="1:11" ht="12.75">
      <c r="A20" s="39" t="s">
        <v>23</v>
      </c>
      <c r="B20" s="12"/>
      <c r="C20" s="12"/>
      <c r="D20" s="12"/>
      <c r="E20" s="12"/>
      <c r="F20" s="12"/>
      <c r="G20" s="12"/>
      <c r="H20" s="14">
        <f>H13+H14+H15+H18+H19</f>
        <v>125834.24200453976</v>
      </c>
      <c r="I20" s="12"/>
      <c r="J20" s="12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 t="s">
        <v>17</v>
      </c>
      <c r="C22" s="8">
        <f>H8-H20</f>
        <v>-37.65850453975145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6.625" style="0" customWidth="1"/>
    <col min="3" max="3" width="9.75390625" style="0" customWidth="1"/>
    <col min="4" max="4" width="3.753906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0" ht="12.75">
      <c r="A1" s="7">
        <f>сантехника!A1</f>
        <v>28.24</v>
      </c>
      <c r="B1" s="7"/>
      <c r="C1" s="7"/>
      <c r="D1" s="7"/>
      <c r="E1" s="7"/>
      <c r="F1" s="7"/>
      <c r="G1" s="7"/>
      <c r="H1" s="7"/>
      <c r="I1" s="7"/>
      <c r="J1" s="4"/>
    </row>
    <row r="2" spans="1:10" ht="12.75">
      <c r="A2" s="3" t="s">
        <v>40</v>
      </c>
      <c r="B2" s="7"/>
      <c r="C2" s="1"/>
      <c r="D2" s="1"/>
      <c r="E2" s="7"/>
      <c r="F2" s="7"/>
      <c r="G2" s="7"/>
      <c r="H2" s="7"/>
      <c r="I2" s="7"/>
      <c r="J2" s="4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4"/>
    </row>
    <row r="4" spans="1:9" ht="12.75">
      <c r="A4" s="12" t="s">
        <v>0</v>
      </c>
      <c r="B4" s="14">
        <v>7.41</v>
      </c>
      <c r="C4" s="12" t="s">
        <v>4</v>
      </c>
      <c r="D4" s="12" t="s">
        <v>1</v>
      </c>
      <c r="E4" s="12">
        <f>'тек рем'!E4</f>
        <v>17996.65</v>
      </c>
      <c r="F4" s="12" t="s">
        <v>2</v>
      </c>
      <c r="G4" s="12" t="s">
        <v>5</v>
      </c>
      <c r="H4" s="12">
        <f>B4*E4</f>
        <v>133355.1765</v>
      </c>
      <c r="I4" s="7"/>
    </row>
    <row r="5" spans="1:9" ht="12.75">
      <c r="A5" s="12"/>
      <c r="B5" s="12"/>
      <c r="C5" s="12"/>
      <c r="D5" s="12"/>
      <c r="E5" s="12"/>
      <c r="F5" s="12"/>
      <c r="G5" s="12"/>
      <c r="H5" s="12"/>
      <c r="I5" s="7"/>
    </row>
    <row r="6" spans="1:9" ht="12.75">
      <c r="A6" s="12" t="s">
        <v>18</v>
      </c>
      <c r="B6" s="12"/>
      <c r="C6" s="12"/>
      <c r="D6" s="12"/>
      <c r="E6" s="12"/>
      <c r="F6" s="12"/>
      <c r="G6" s="12"/>
      <c r="H6" s="12">
        <f>H4</f>
        <v>133355.1765</v>
      </c>
      <c r="I6" s="7"/>
    </row>
    <row r="7" spans="1:9" ht="12.75">
      <c r="A7" s="12"/>
      <c r="B7" s="12"/>
      <c r="C7" s="12"/>
      <c r="D7" s="12"/>
      <c r="E7" s="12"/>
      <c r="F7" s="12"/>
      <c r="G7" s="12"/>
      <c r="H7" s="12"/>
      <c r="I7" s="7"/>
    </row>
    <row r="8" spans="1:9" ht="12.75">
      <c r="A8" s="12"/>
      <c r="B8" s="12"/>
      <c r="C8" s="12"/>
      <c r="D8" s="12"/>
      <c r="E8" s="12"/>
      <c r="F8" s="12"/>
      <c r="G8" s="12"/>
      <c r="H8" s="12"/>
      <c r="I8" s="7"/>
    </row>
    <row r="9" spans="1:9" ht="12.75">
      <c r="A9" s="39" t="s">
        <v>7</v>
      </c>
      <c r="B9" s="12"/>
      <c r="C9" s="12"/>
      <c r="D9" s="12"/>
      <c r="E9" s="12"/>
      <c r="F9" s="12"/>
      <c r="G9" s="12"/>
      <c r="H9" s="12"/>
      <c r="I9" s="7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7"/>
    </row>
    <row r="11" spans="1:9" ht="12.75">
      <c r="A11" s="32" t="s">
        <v>99</v>
      </c>
      <c r="B11" s="12"/>
      <c r="C11" s="12">
        <f>H6</f>
        <v>133355.1765</v>
      </c>
      <c r="D11" s="12" t="s">
        <v>1</v>
      </c>
      <c r="E11" s="40">
        <v>0.01</v>
      </c>
      <c r="F11" s="40"/>
      <c r="G11" s="12" t="s">
        <v>5</v>
      </c>
      <c r="H11" s="14">
        <f>C11*E11</f>
        <v>1333.551765</v>
      </c>
      <c r="I11" s="7"/>
    </row>
    <row r="12" spans="1:9" ht="12.75">
      <c r="A12" s="12" t="str">
        <f>сантехника!A14</f>
        <v>Услуги ЕИРЦ</v>
      </c>
      <c r="B12" s="12"/>
      <c r="C12" s="12">
        <f>H6</f>
        <v>133355.1765</v>
      </c>
      <c r="D12" s="12" t="s">
        <v>1</v>
      </c>
      <c r="E12" s="41">
        <f>сантехника!E14</f>
        <v>0.0183</v>
      </c>
      <c r="F12" s="40"/>
      <c r="G12" s="12" t="s">
        <v>5</v>
      </c>
      <c r="H12" s="14">
        <f>C12*E12</f>
        <v>2440.39972995</v>
      </c>
      <c r="I12" s="7"/>
    </row>
    <row r="13" spans="1:9" ht="12.75">
      <c r="A13" s="12"/>
      <c r="B13" s="12"/>
      <c r="C13" s="12"/>
      <c r="D13" s="12"/>
      <c r="E13" s="41"/>
      <c r="F13" s="40"/>
      <c r="G13" s="12"/>
      <c r="H13" s="14"/>
      <c r="I13" s="7"/>
    </row>
    <row r="14" spans="1:9" ht="12.75">
      <c r="A14" s="12" t="s">
        <v>43</v>
      </c>
      <c r="B14" s="12" t="s">
        <v>44</v>
      </c>
      <c r="C14" s="12" t="s">
        <v>45</v>
      </c>
      <c r="D14" s="12" t="s">
        <v>46</v>
      </c>
      <c r="E14" s="41" t="s">
        <v>47</v>
      </c>
      <c r="F14" s="40"/>
      <c r="G14" s="12"/>
      <c r="H14" s="14"/>
      <c r="I14" s="7"/>
    </row>
    <row r="15" spans="1:9" ht="12.75">
      <c r="A15" s="12">
        <v>4.5</v>
      </c>
      <c r="B15" s="12">
        <v>2140</v>
      </c>
      <c r="C15" s="12">
        <v>0</v>
      </c>
      <c r="D15" s="12">
        <v>3</v>
      </c>
      <c r="E15" s="13">
        <v>43</v>
      </c>
      <c r="F15" s="12"/>
      <c r="G15" s="12"/>
      <c r="H15" s="14">
        <f>B15*E15+C15*D15</f>
        <v>92020</v>
      </c>
      <c r="I15" s="7"/>
    </row>
    <row r="16" spans="1:9" ht="12.75">
      <c r="A16" s="12">
        <v>2.5</v>
      </c>
      <c r="B16" s="12">
        <v>1073</v>
      </c>
      <c r="C16" s="12"/>
      <c r="D16" s="12"/>
      <c r="E16" s="14">
        <v>0</v>
      </c>
      <c r="F16" s="12"/>
      <c r="G16" s="12"/>
      <c r="H16" s="14">
        <f>B16*E16</f>
        <v>0</v>
      </c>
      <c r="I16" s="7"/>
    </row>
    <row r="17" spans="1:9" ht="12.75">
      <c r="A17" s="12" t="str">
        <f>сантехника!A19</f>
        <v>Управление ЖФ</v>
      </c>
      <c r="B17" s="40"/>
      <c r="C17" s="15">
        <f>B4/A1</f>
        <v>0.2623937677053825</v>
      </c>
      <c r="D17" s="12"/>
      <c r="E17" s="12"/>
      <c r="F17" s="12"/>
      <c r="G17" s="12"/>
      <c r="H17" s="14">
        <f>C17*Лист3!E24</f>
        <v>37606.83108314575</v>
      </c>
      <c r="I17" s="7"/>
    </row>
    <row r="18" spans="1:9" ht="12.75">
      <c r="A18" s="39" t="s">
        <v>23</v>
      </c>
      <c r="B18" s="12"/>
      <c r="C18" s="12"/>
      <c r="D18" s="12"/>
      <c r="E18" s="12"/>
      <c r="F18" s="12"/>
      <c r="G18" s="12"/>
      <c r="H18" s="14">
        <f>SUM(H15:H17)+H12+H11</f>
        <v>133400.78257809576</v>
      </c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 t="s">
        <v>17</v>
      </c>
      <c r="C20" s="8">
        <f>H6-H18</f>
        <v>-45.60607809576322</v>
      </c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7" sqref="I27"/>
    </sheetView>
  </sheetViews>
  <sheetFormatPr defaultColWidth="9.00390625" defaultRowHeight="12.75"/>
  <cols>
    <col min="2" max="2" width="16.625" style="0" customWidth="1"/>
    <col min="3" max="3" width="9.75390625" style="0" customWidth="1"/>
    <col min="4" max="4" width="3.753906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0" ht="12.75">
      <c r="A1" s="7">
        <f>ТБО!A1</f>
        <v>28.24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37" t="s">
        <v>53</v>
      </c>
      <c r="B2" s="12"/>
      <c r="C2" s="38"/>
      <c r="D2" s="38"/>
      <c r="E2" s="12"/>
      <c r="F2" s="12"/>
      <c r="G2" s="12"/>
      <c r="H2" s="12"/>
      <c r="I2" s="7"/>
      <c r="J2" s="7"/>
    </row>
    <row r="3" spans="1:10" ht="12.75">
      <c r="A3" s="12"/>
      <c r="B3" s="12"/>
      <c r="C3" s="12"/>
      <c r="D3" s="12"/>
      <c r="E3" s="12"/>
      <c r="F3" s="12"/>
      <c r="G3" s="12"/>
      <c r="H3" s="12"/>
      <c r="I3" s="7"/>
      <c r="J3" s="7"/>
    </row>
    <row r="4" spans="1:10" ht="12.75">
      <c r="A4" s="12" t="s">
        <v>0</v>
      </c>
      <c r="B4" s="14">
        <v>0.19</v>
      </c>
      <c r="C4" s="12" t="s">
        <v>4</v>
      </c>
      <c r="D4" s="12" t="s">
        <v>1</v>
      </c>
      <c r="E4" s="12">
        <f>ТБО!E4</f>
        <v>17996.65</v>
      </c>
      <c r="F4" s="12" t="s">
        <v>2</v>
      </c>
      <c r="G4" s="12" t="s">
        <v>5</v>
      </c>
      <c r="H4" s="12">
        <f>B4*E4</f>
        <v>3419.3635000000004</v>
      </c>
      <c r="I4" s="7"/>
      <c r="J4" s="7"/>
    </row>
    <row r="5" spans="1:10" ht="12.75">
      <c r="A5" s="12"/>
      <c r="B5" s="12"/>
      <c r="C5" s="12"/>
      <c r="D5" s="12"/>
      <c r="E5" s="12"/>
      <c r="F5" s="12"/>
      <c r="G5" s="12"/>
      <c r="H5" s="12"/>
      <c r="I5" s="7"/>
      <c r="J5" s="7"/>
    </row>
    <row r="6" spans="1:10" ht="12.75">
      <c r="A6" s="12" t="s">
        <v>18</v>
      </c>
      <c r="B6" s="12"/>
      <c r="C6" s="12"/>
      <c r="D6" s="12"/>
      <c r="E6" s="12"/>
      <c r="F6" s="12"/>
      <c r="G6" s="12"/>
      <c r="H6" s="12">
        <f>H4</f>
        <v>3419.3635000000004</v>
      </c>
      <c r="I6" s="7"/>
      <c r="J6" s="7"/>
    </row>
    <row r="7" spans="1:10" ht="12.75">
      <c r="A7" s="12"/>
      <c r="B7" s="12"/>
      <c r="C7" s="12"/>
      <c r="D7" s="12"/>
      <c r="E7" s="12"/>
      <c r="F7" s="12"/>
      <c r="G7" s="12"/>
      <c r="H7" s="12"/>
      <c r="I7" s="7"/>
      <c r="J7" s="7"/>
    </row>
    <row r="8" spans="1:10" ht="12.75">
      <c r="A8" s="12"/>
      <c r="B8" s="12"/>
      <c r="C8" s="12"/>
      <c r="D8" s="12"/>
      <c r="E8" s="12"/>
      <c r="F8" s="12"/>
      <c r="G8" s="12"/>
      <c r="H8" s="12"/>
      <c r="I8" s="7"/>
      <c r="J8" s="7"/>
    </row>
    <row r="9" spans="1:10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</row>
    <row r="10" spans="1:10" ht="12.75">
      <c r="A10" s="12"/>
      <c r="B10" s="12"/>
      <c r="C10" s="12"/>
      <c r="D10" s="12"/>
      <c r="E10" s="12"/>
      <c r="F10" s="12"/>
      <c r="G10" s="12"/>
      <c r="H10" s="12"/>
      <c r="I10" s="7"/>
      <c r="J10" s="7"/>
    </row>
    <row r="11" spans="1:10" ht="12.75">
      <c r="A11" s="32" t="str">
        <f>ТБО!A11</f>
        <v>Налог по УСН</v>
      </c>
      <c r="B11" s="12"/>
      <c r="C11" s="12">
        <f>H6</f>
        <v>3419.3635000000004</v>
      </c>
      <c r="D11" s="12" t="s">
        <v>1</v>
      </c>
      <c r="E11" s="40">
        <v>0.01</v>
      </c>
      <c r="F11" s="40"/>
      <c r="G11" s="12" t="s">
        <v>5</v>
      </c>
      <c r="H11" s="14">
        <f>C11*E11</f>
        <v>34.19363500000001</v>
      </c>
      <c r="I11" s="7"/>
      <c r="J11" s="7"/>
    </row>
    <row r="12" spans="1:10" ht="12.75">
      <c r="A12" s="12" t="str">
        <f>ТБО!A12</f>
        <v>Услуги ЕИРЦ</v>
      </c>
      <c r="B12" s="12"/>
      <c r="C12" s="12">
        <f>H6</f>
        <v>3419.3635000000004</v>
      </c>
      <c r="D12" s="12" t="s">
        <v>1</v>
      </c>
      <c r="E12" s="41">
        <f>ТБО!E12</f>
        <v>0.0183</v>
      </c>
      <c r="F12" s="40"/>
      <c r="G12" s="12" t="s">
        <v>5</v>
      </c>
      <c r="H12" s="14">
        <f>C12*E12</f>
        <v>62.57435205000001</v>
      </c>
      <c r="I12" s="7"/>
      <c r="J12" s="7"/>
    </row>
    <row r="13" spans="1:10" ht="12.75">
      <c r="A13" s="12" t="s">
        <v>54</v>
      </c>
      <c r="B13" s="12"/>
      <c r="C13" s="12"/>
      <c r="D13" s="12"/>
      <c r="E13" s="41"/>
      <c r="F13" s="40"/>
      <c r="G13" s="12"/>
      <c r="H13" s="14">
        <f>2500/'тек рем'!I1*'тек рем'!E4</f>
        <v>2334.2382351949323</v>
      </c>
      <c r="I13" s="7"/>
      <c r="J13" s="7"/>
    </row>
    <row r="14" spans="1:10" ht="12.75">
      <c r="A14" s="12" t="str">
        <f>ТБО!A17</f>
        <v>Управление ЖФ</v>
      </c>
      <c r="B14" s="40"/>
      <c r="C14" s="15">
        <f>B4/A1</f>
        <v>0.006728045325779038</v>
      </c>
      <c r="D14" s="12"/>
      <c r="E14" s="12"/>
      <c r="F14" s="12"/>
      <c r="G14" s="12"/>
      <c r="H14" s="14">
        <f>C14*Лист3!E24</f>
        <v>964.2777200806602</v>
      </c>
      <c r="I14" s="7"/>
      <c r="J14" s="7"/>
    </row>
    <row r="15" spans="1:10" ht="12.75">
      <c r="A15" s="39" t="s">
        <v>23</v>
      </c>
      <c r="B15" s="12"/>
      <c r="C15" s="12"/>
      <c r="D15" s="12"/>
      <c r="E15" s="12"/>
      <c r="F15" s="12"/>
      <c r="G15" s="12"/>
      <c r="H15" s="14">
        <f>SUM(H11:H14)</f>
        <v>3395.2839423255928</v>
      </c>
      <c r="I15" s="7"/>
      <c r="J15" s="7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7"/>
      <c r="J16" s="7"/>
    </row>
    <row r="17" spans="1:10" ht="12.75">
      <c r="A17" s="12"/>
      <c r="B17" s="12" t="s">
        <v>17</v>
      </c>
      <c r="C17" s="14">
        <f>H6-H15</f>
        <v>24.079557674407624</v>
      </c>
      <c r="D17" s="12"/>
      <c r="E17" s="12"/>
      <c r="F17" s="12"/>
      <c r="G17" s="12"/>
      <c r="H17" s="14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32.125" style="0" customWidth="1"/>
    <col min="2" max="2" width="10.75390625" style="0" customWidth="1"/>
    <col min="3" max="3" width="3.25390625" style="0" customWidth="1"/>
    <col min="4" max="4" width="16.875" style="0" customWidth="1"/>
  </cols>
  <sheetData>
    <row r="1" spans="1:6" ht="12.75">
      <c r="A1" t="s">
        <v>75</v>
      </c>
      <c r="B1" s="7"/>
      <c r="C1" s="7"/>
      <c r="D1" s="7"/>
      <c r="E1" s="7">
        <f>'тек рем'!E4</f>
        <v>17996.65</v>
      </c>
      <c r="F1" s="7">
        <v>120393</v>
      </c>
    </row>
    <row r="2" spans="2:6" ht="12.75">
      <c r="B2" s="7"/>
      <c r="C2" s="7"/>
      <c r="D2" s="7"/>
      <c r="E2" s="7"/>
      <c r="F2" s="7"/>
    </row>
    <row r="3" spans="1:6" ht="12.75">
      <c r="A3" t="s">
        <v>108</v>
      </c>
      <c r="B3" s="7"/>
      <c r="C3" s="7"/>
      <c r="D3" s="7"/>
      <c r="E3" s="7"/>
      <c r="F3" s="7"/>
    </row>
    <row r="4" spans="1:6" ht="12.75" hidden="1">
      <c r="A4" s="9"/>
      <c r="B4" s="10"/>
      <c r="C4" s="10"/>
      <c r="D4" s="10"/>
      <c r="E4" s="11"/>
      <c r="F4" s="7"/>
    </row>
    <row r="5" spans="1:6" ht="12.75" hidden="1">
      <c r="A5" s="12" t="s">
        <v>10</v>
      </c>
      <c r="B5" s="12"/>
      <c r="C5" s="12"/>
      <c r="D5" s="12"/>
      <c r="E5" s="42">
        <v>1500</v>
      </c>
      <c r="F5" s="7"/>
    </row>
    <row r="6" spans="1:6" ht="12.75" hidden="1">
      <c r="A6" s="12" t="s">
        <v>25</v>
      </c>
      <c r="B6" s="12"/>
      <c r="C6" s="12"/>
      <c r="D6" s="12"/>
      <c r="E6" s="31">
        <v>0</v>
      </c>
      <c r="F6" s="7"/>
    </row>
    <row r="7" spans="1:6" ht="12.75" hidden="1">
      <c r="A7" s="12" t="s">
        <v>22</v>
      </c>
      <c r="B7" s="12"/>
      <c r="C7" s="12"/>
      <c r="D7" s="12"/>
      <c r="E7" s="31">
        <v>2430</v>
      </c>
      <c r="F7" s="7"/>
    </row>
    <row r="8" spans="1:6" ht="12.75" hidden="1">
      <c r="A8" s="12" t="s">
        <v>11</v>
      </c>
      <c r="B8" s="12"/>
      <c r="C8" s="12"/>
      <c r="D8" s="12"/>
      <c r="E8" s="42">
        <f>12000*E1/F1*1.2</f>
        <v>2152.548403976976</v>
      </c>
      <c r="F8" s="7"/>
    </row>
    <row r="9" spans="1:6" ht="12.75" hidden="1">
      <c r="A9" s="12" t="s">
        <v>51</v>
      </c>
      <c r="B9" s="12"/>
      <c r="C9" s="12"/>
      <c r="D9" s="12"/>
      <c r="E9" s="31">
        <v>15500</v>
      </c>
      <c r="F9" s="7"/>
    </row>
    <row r="10" spans="1:6" ht="12.75" hidden="1">
      <c r="A10" s="12" t="s">
        <v>52</v>
      </c>
      <c r="B10" s="12"/>
      <c r="C10" s="12"/>
      <c r="D10" s="12"/>
      <c r="E10" s="31">
        <f>(16500+9000+32200*2)*1.05/F1*E1*1.1</f>
        <v>15521.443559218562</v>
      </c>
      <c r="F10" s="7"/>
    </row>
    <row r="11" spans="1:6" ht="12.75" hidden="1">
      <c r="A11" s="32" t="s">
        <v>71</v>
      </c>
      <c r="B11" s="12">
        <v>25000</v>
      </c>
      <c r="C11" s="12"/>
      <c r="D11" s="12"/>
      <c r="E11" s="43">
        <f>B11/F1*E1</f>
        <v>3737.0632013489158</v>
      </c>
      <c r="F11" s="7"/>
    </row>
    <row r="12" spans="1:6" ht="12.75" hidden="1">
      <c r="A12" s="12" t="s">
        <v>12</v>
      </c>
      <c r="B12" s="12"/>
      <c r="C12" s="12"/>
      <c r="D12" s="12"/>
      <c r="E12" s="31">
        <f>12000/12</f>
        <v>1000</v>
      </c>
      <c r="F12" s="7"/>
    </row>
    <row r="13" spans="1:6" ht="12.75" hidden="1">
      <c r="A13" s="12" t="s">
        <v>13</v>
      </c>
      <c r="B13" s="12"/>
      <c r="C13" s="12"/>
      <c r="D13" s="12"/>
      <c r="E13" s="42">
        <v>300</v>
      </c>
      <c r="F13" s="7"/>
    </row>
    <row r="14" spans="1:6" ht="12.75" hidden="1">
      <c r="A14" s="12" t="s">
        <v>14</v>
      </c>
      <c r="B14" s="12"/>
      <c r="C14" s="12"/>
      <c r="D14" s="12"/>
      <c r="E14" s="31">
        <v>500</v>
      </c>
      <c r="F14" s="7"/>
    </row>
    <row r="15" spans="1:6" ht="12.75" hidden="1">
      <c r="A15" s="12" t="s">
        <v>56</v>
      </c>
      <c r="B15" s="12"/>
      <c r="C15" s="12"/>
      <c r="D15" s="12"/>
      <c r="E15" s="31">
        <v>0</v>
      </c>
      <c r="F15" s="7"/>
    </row>
    <row r="16" spans="1:6" ht="12.75" hidden="1">
      <c r="A16" s="12" t="s">
        <v>15</v>
      </c>
      <c r="B16" s="12"/>
      <c r="C16" s="12"/>
      <c r="D16" s="12"/>
      <c r="E16" s="31">
        <v>1500</v>
      </c>
      <c r="F16" s="7"/>
    </row>
    <row r="17" spans="1:6" ht="12.75" hidden="1">
      <c r="A17" s="32" t="s">
        <v>76</v>
      </c>
      <c r="B17" s="12"/>
      <c r="C17" s="12"/>
      <c r="D17" s="12"/>
      <c r="E17" s="31">
        <v>1500</v>
      </c>
      <c r="F17" s="7"/>
    </row>
    <row r="18" spans="1:6" ht="12.75" hidden="1">
      <c r="A18" s="12" t="s">
        <v>24</v>
      </c>
      <c r="B18" s="12">
        <v>19.99</v>
      </c>
      <c r="C18" s="12" t="s">
        <v>1</v>
      </c>
      <c r="D18" s="12">
        <v>396</v>
      </c>
      <c r="E18" s="42">
        <f>B18*D18</f>
        <v>7916.039999999999</v>
      </c>
      <c r="F18" s="7"/>
    </row>
    <row r="19" spans="1:6" ht="12.75" hidden="1">
      <c r="A19" s="12" t="s">
        <v>16</v>
      </c>
      <c r="B19" s="12"/>
      <c r="C19" s="12"/>
      <c r="D19" s="12"/>
      <c r="E19" s="42">
        <f>5000/F1*E1</f>
        <v>747.4126402697832</v>
      </c>
      <c r="F19" s="7"/>
    </row>
    <row r="20" spans="1:6" ht="12.75" hidden="1">
      <c r="A20" s="12" t="s">
        <v>57</v>
      </c>
      <c r="B20" s="12"/>
      <c r="C20" s="12"/>
      <c r="D20" s="12"/>
      <c r="E20" s="13">
        <f>(4600+3000)*E1/F1</f>
        <v>1136.0672132100703</v>
      </c>
      <c r="F20" s="7"/>
    </row>
    <row r="21" spans="1:6" ht="12.75" hidden="1">
      <c r="A21" s="12" t="s">
        <v>58</v>
      </c>
      <c r="B21" s="12"/>
      <c r="C21" s="12"/>
      <c r="D21" s="12"/>
      <c r="E21" s="13">
        <f>10000*E1/F1</f>
        <v>1494.8252805395662</v>
      </c>
      <c r="F21" s="7"/>
    </row>
    <row r="22" spans="1:6" ht="12.75" hidden="1">
      <c r="A22" s="32" t="s">
        <v>77</v>
      </c>
      <c r="B22" s="14">
        <f>E8+E9+E10+E11</f>
        <v>36911.05516454446</v>
      </c>
      <c r="C22" s="12" t="s">
        <v>1</v>
      </c>
      <c r="D22" s="15">
        <v>0.302</v>
      </c>
      <c r="E22" s="13">
        <f>B22*D22</f>
        <v>11147.138659692426</v>
      </c>
      <c r="F22" s="7"/>
    </row>
    <row r="23" spans="1:6" ht="12.75" hidden="1">
      <c r="A23" s="34" t="s">
        <v>72</v>
      </c>
      <c r="B23" s="35">
        <v>0.05</v>
      </c>
      <c r="C23" s="16"/>
      <c r="D23" s="33"/>
      <c r="E23" s="13">
        <f>Лист3!B23*'Сводная Таблица '!E18</f>
        <v>25411.269800000002</v>
      </c>
      <c r="F23" s="7"/>
    </row>
    <row r="24" spans="1:6" ht="12.75">
      <c r="A24" s="5" t="s">
        <v>55</v>
      </c>
      <c r="B24" s="16"/>
      <c r="C24" s="16"/>
      <c r="D24" s="16"/>
      <c r="E24" s="6">
        <f>(Лист3!D25/Лист3!F1*Лист3!E1)/12+((Лист1!G3*1.302)/'тек рем'!I1*'тек рем'!E4)</f>
        <v>143322.12007935706</v>
      </c>
      <c r="F24" s="7"/>
    </row>
    <row r="25" spans="1:6" ht="12.75">
      <c r="A25" s="7"/>
      <c r="B25" s="7"/>
      <c r="C25" s="7"/>
      <c r="D25" s="7">
        <v>9319437</v>
      </c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45" zoomScaleNormal="145" zoomScalePageLayoutView="0" workbookViewId="0" topLeftCell="A1">
      <selection activeCell="O5" sqref="O5"/>
    </sheetView>
  </sheetViews>
  <sheetFormatPr defaultColWidth="9.00390625" defaultRowHeight="12.75"/>
  <cols>
    <col min="1" max="1" width="40.00390625" style="0" customWidth="1"/>
    <col min="2" max="2" width="11.25390625" style="0" customWidth="1"/>
    <col min="3" max="3" width="11.625" style="0" customWidth="1"/>
    <col min="4" max="4" width="10.375" style="0" customWidth="1"/>
    <col min="5" max="5" width="11.00390625" style="0" customWidth="1"/>
    <col min="6" max="6" width="0.12890625" style="0" customWidth="1"/>
    <col min="7" max="7" width="5.375" style="0" hidden="1" customWidth="1"/>
    <col min="8" max="8" width="11.00390625" style="0" hidden="1" customWidth="1"/>
    <col min="9" max="9" width="4.375" style="0" hidden="1" customWidth="1"/>
    <col min="10" max="10" width="12.375" style="0" customWidth="1"/>
    <col min="11" max="11" width="11.25390625" style="0" customWidth="1"/>
    <col min="12" max="12" width="0.2421875" style="0" customWidth="1"/>
    <col min="13" max="13" width="0" style="0" hidden="1" customWidth="1"/>
  </cols>
  <sheetData>
    <row r="1" spans="1:12" ht="21.75" customHeight="1">
      <c r="A1" s="128"/>
      <c r="B1" s="128"/>
      <c r="C1" s="133" t="s">
        <v>129</v>
      </c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.75">
      <c r="A2" s="128"/>
      <c r="B2" s="128"/>
      <c r="C2" s="128"/>
      <c r="D2" s="129" t="s">
        <v>130</v>
      </c>
      <c r="E2" s="129"/>
      <c r="F2" s="129"/>
      <c r="G2" s="129"/>
      <c r="H2" s="129"/>
      <c r="I2" s="129"/>
      <c r="J2" s="129"/>
      <c r="K2" s="129"/>
      <c r="L2" s="129"/>
    </row>
    <row r="3" spans="1:12" ht="13.5" customHeight="1">
      <c r="A3" s="130" t="s">
        <v>133</v>
      </c>
      <c r="B3" s="130"/>
      <c r="C3" s="130"/>
      <c r="D3" s="130"/>
      <c r="E3" s="130"/>
      <c r="F3" s="130"/>
      <c r="G3" s="130"/>
      <c r="H3" s="130"/>
      <c r="I3" s="130"/>
      <c r="J3" s="131"/>
      <c r="K3" s="131"/>
      <c r="L3" s="132"/>
    </row>
    <row r="4" spans="1:13" ht="40.5" customHeight="1">
      <c r="A4" s="118" t="s">
        <v>67</v>
      </c>
      <c r="B4" s="23" t="s">
        <v>138</v>
      </c>
      <c r="C4" s="23" t="s">
        <v>66</v>
      </c>
      <c r="D4" s="119" t="s">
        <v>68</v>
      </c>
      <c r="E4" s="121" t="s">
        <v>65</v>
      </c>
      <c r="F4" s="122"/>
      <c r="G4" s="123" t="s">
        <v>69</v>
      </c>
      <c r="H4" s="124"/>
      <c r="I4" s="124"/>
      <c r="J4" s="113"/>
      <c r="K4" s="113"/>
      <c r="L4" s="113"/>
      <c r="M4" s="26">
        <v>1</v>
      </c>
    </row>
    <row r="5" spans="1:12" ht="26.25" customHeight="1">
      <c r="A5" s="118"/>
      <c r="B5" s="36" t="s">
        <v>137</v>
      </c>
      <c r="C5" s="46" t="s">
        <v>79</v>
      </c>
      <c r="D5" s="120"/>
      <c r="E5" s="36" t="s">
        <v>137</v>
      </c>
      <c r="F5" s="27" t="s">
        <v>64</v>
      </c>
      <c r="G5" s="23" t="s">
        <v>70</v>
      </c>
      <c r="H5" s="36" t="str">
        <f>B5</f>
        <v>новый</v>
      </c>
      <c r="I5" s="81" t="s">
        <v>64</v>
      </c>
      <c r="J5" s="113"/>
      <c r="K5" s="85"/>
      <c r="L5" s="86"/>
    </row>
    <row r="6" spans="1:12" ht="12.75">
      <c r="A6" s="21" t="s">
        <v>63</v>
      </c>
      <c r="B6" s="17">
        <f>'тек рем'!B4</f>
        <v>3.01</v>
      </c>
      <c r="C6" s="17">
        <v>3.2</v>
      </c>
      <c r="D6" s="24">
        <f>Лист3!E1</f>
        <v>17996.65</v>
      </c>
      <c r="E6" s="19">
        <f>B6*D6</f>
        <v>54169.9165</v>
      </c>
      <c r="F6" s="28" t="e">
        <f>#REF!*D6</f>
        <v>#REF!</v>
      </c>
      <c r="G6" s="25">
        <f>M4</f>
        <v>1</v>
      </c>
      <c r="H6" s="19">
        <f>E6*G6</f>
        <v>54169.9165</v>
      </c>
      <c r="I6" s="82" t="e">
        <f>F6*G6</f>
        <v>#REF!</v>
      </c>
      <c r="J6" s="87"/>
      <c r="K6" s="87"/>
      <c r="L6" s="88"/>
    </row>
    <row r="7" spans="1:12" ht="12.75">
      <c r="A7" s="21" t="s">
        <v>62</v>
      </c>
      <c r="B7" s="17">
        <f>'Уборка придо тер'!B4</f>
        <v>3.99</v>
      </c>
      <c r="C7" s="17">
        <v>4.3</v>
      </c>
      <c r="D7" s="24">
        <f>'Уборка придо тер'!E4</f>
        <v>17996.65</v>
      </c>
      <c r="E7" s="19">
        <f>B7*D7</f>
        <v>71806.63350000001</v>
      </c>
      <c r="F7" s="28" t="e">
        <f>#REF!*D7</f>
        <v>#REF!</v>
      </c>
      <c r="G7" s="25">
        <f>M4</f>
        <v>1</v>
      </c>
      <c r="H7" s="19">
        <f>E7*G7</f>
        <v>71806.63350000001</v>
      </c>
      <c r="I7" s="82" t="e">
        <f>F7*G7</f>
        <v>#REF!</v>
      </c>
      <c r="J7" s="87"/>
      <c r="K7" s="87"/>
      <c r="L7" s="88"/>
    </row>
    <row r="8" spans="1:12" ht="12.75">
      <c r="A8" s="21" t="s">
        <v>61</v>
      </c>
      <c r="B8" s="17">
        <f>'Уборка лестничных клеток'!B4</f>
        <v>3.67</v>
      </c>
      <c r="C8" s="17">
        <v>2.69</v>
      </c>
      <c r="D8" s="24">
        <f>'Уборка лестничных клеток'!E4</f>
        <v>17996.65</v>
      </c>
      <c r="E8" s="19">
        <f>B8*D8</f>
        <v>66047.70550000001</v>
      </c>
      <c r="F8" s="28" t="e">
        <f>#REF!*D8</f>
        <v>#REF!</v>
      </c>
      <c r="G8" s="25">
        <f>M4</f>
        <v>1</v>
      </c>
      <c r="H8" s="19">
        <f>E8*G8</f>
        <v>66047.70550000001</v>
      </c>
      <c r="I8" s="82" t="e">
        <f>F8*G8</f>
        <v>#REF!</v>
      </c>
      <c r="J8" s="87"/>
      <c r="K8" s="87"/>
      <c r="L8" s="88"/>
    </row>
    <row r="9" spans="1:12" ht="25.5">
      <c r="A9" s="21" t="s">
        <v>42</v>
      </c>
      <c r="B9" s="19">
        <f>электрик!H2</f>
        <v>0.3</v>
      </c>
      <c r="C9" s="19">
        <v>0.26</v>
      </c>
      <c r="D9" s="24">
        <f>электрик!E4</f>
        <v>17996.65</v>
      </c>
      <c r="E9" s="106">
        <f>(B9+B10)*D9</f>
        <v>22315.846</v>
      </c>
      <c r="F9" s="107" t="e">
        <f>#REF!*D9+#REF!*D10</f>
        <v>#REF!</v>
      </c>
      <c r="G9" s="114">
        <f>M4</f>
        <v>1</v>
      </c>
      <c r="H9" s="105">
        <f>G9*E9</f>
        <v>22315.846</v>
      </c>
      <c r="I9" s="110" t="e">
        <f>F9*G9</f>
        <v>#REF!</v>
      </c>
      <c r="J9" s="103"/>
      <c r="K9" s="103"/>
      <c r="L9" s="98"/>
    </row>
    <row r="10" spans="1:12" ht="25.5">
      <c r="A10" s="21" t="s">
        <v>41</v>
      </c>
      <c r="B10" s="19">
        <f>электрик!H3</f>
        <v>0.94</v>
      </c>
      <c r="C10" s="19">
        <v>0.71</v>
      </c>
      <c r="D10" s="24">
        <f>D9</f>
        <v>17996.65</v>
      </c>
      <c r="E10" s="106"/>
      <c r="F10" s="108"/>
      <c r="G10" s="116"/>
      <c r="H10" s="106"/>
      <c r="I10" s="111"/>
      <c r="J10" s="104"/>
      <c r="K10" s="104"/>
      <c r="L10" s="98"/>
    </row>
    <row r="11" spans="1:12" ht="12.75">
      <c r="A11" s="21" t="s">
        <v>30</v>
      </c>
      <c r="B11" s="17">
        <f>ВДГО!B4</f>
        <v>1.43</v>
      </c>
      <c r="C11" s="17">
        <v>0.48</v>
      </c>
      <c r="D11" s="24">
        <f>ВДГО!E4</f>
        <v>17996.65</v>
      </c>
      <c r="E11" s="20">
        <f>B11*D11</f>
        <v>25735.2095</v>
      </c>
      <c r="F11" s="29" t="e">
        <f>#REF!*D11</f>
        <v>#REF!</v>
      </c>
      <c r="G11" s="25">
        <f>M4</f>
        <v>1</v>
      </c>
      <c r="H11" s="22">
        <f>E11*G11</f>
        <v>25735.2095</v>
      </c>
      <c r="I11" s="83" t="e">
        <f>F11*G11</f>
        <v>#REF!</v>
      </c>
      <c r="J11" s="87"/>
      <c r="K11" s="87"/>
      <c r="L11" s="88"/>
    </row>
    <row r="12" spans="1:12" ht="12.75">
      <c r="A12" s="21" t="s">
        <v>60</v>
      </c>
      <c r="B12" s="17">
        <f>Изоляция!B4</f>
        <v>0.31</v>
      </c>
      <c r="C12" s="17">
        <v>0.24</v>
      </c>
      <c r="D12" s="24">
        <f>Изоляция!E4</f>
        <v>17996.65</v>
      </c>
      <c r="E12" s="20">
        <f>B12*D12</f>
        <v>5578.9615</v>
      </c>
      <c r="F12" s="29" t="e">
        <f>#REF!*D12</f>
        <v>#REF!</v>
      </c>
      <c r="G12" s="25">
        <f>M4</f>
        <v>1</v>
      </c>
      <c r="H12" s="22">
        <f>E12*G12</f>
        <v>5578.9615</v>
      </c>
      <c r="I12" s="83" t="e">
        <f>F12*G12</f>
        <v>#REF!</v>
      </c>
      <c r="J12" s="87"/>
      <c r="K12" s="87"/>
      <c r="L12" s="88"/>
    </row>
    <row r="13" spans="1:12" ht="25.5">
      <c r="A13" s="21" t="s">
        <v>37</v>
      </c>
      <c r="B13" s="19">
        <f>сантехника!J2</f>
        <v>4</v>
      </c>
      <c r="C13" s="19">
        <v>1.5</v>
      </c>
      <c r="D13" s="24">
        <f>сантехника!E6</f>
        <v>17996.65</v>
      </c>
      <c r="E13" s="99">
        <f>(B13+B14+B15)*D13</f>
        <v>125796.58350000001</v>
      </c>
      <c r="F13" s="107" t="e">
        <f>#REF!*D13+#REF!*D14+#REF!*D15</f>
        <v>#REF!</v>
      </c>
      <c r="G13" s="114">
        <f>M4</f>
        <v>1</v>
      </c>
      <c r="H13" s="102">
        <f>E13*G13</f>
        <v>125796.58350000001</v>
      </c>
      <c r="I13" s="110" t="e">
        <f>F13*G13</f>
        <v>#REF!</v>
      </c>
      <c r="J13" s="103"/>
      <c r="K13" s="103"/>
      <c r="L13" s="98"/>
    </row>
    <row r="14" spans="1:12" ht="25.5">
      <c r="A14" s="21" t="s">
        <v>38</v>
      </c>
      <c r="B14" s="19">
        <f>сантехника!J3</f>
        <v>1.99</v>
      </c>
      <c r="C14" s="19">
        <v>0.93</v>
      </c>
      <c r="D14" s="24">
        <f>D13</f>
        <v>17996.65</v>
      </c>
      <c r="E14" s="100"/>
      <c r="F14" s="117"/>
      <c r="G14" s="115"/>
      <c r="H14" s="100"/>
      <c r="I14" s="112"/>
      <c r="J14" s="104"/>
      <c r="K14" s="104"/>
      <c r="L14" s="98"/>
    </row>
    <row r="15" spans="1:12" ht="12.75">
      <c r="A15" s="21" t="s">
        <v>39</v>
      </c>
      <c r="B15" s="19">
        <f>сантехника!J4</f>
        <v>1</v>
      </c>
      <c r="C15" s="19">
        <v>0.55</v>
      </c>
      <c r="D15" s="24">
        <f>D13</f>
        <v>17996.65</v>
      </c>
      <c r="E15" s="101"/>
      <c r="F15" s="108"/>
      <c r="G15" s="116"/>
      <c r="H15" s="101"/>
      <c r="I15" s="111"/>
      <c r="J15" s="104"/>
      <c r="K15" s="104"/>
      <c r="L15" s="98"/>
    </row>
    <row r="16" spans="1:12" ht="12.75">
      <c r="A16" s="18" t="s">
        <v>59</v>
      </c>
      <c r="B16" s="17">
        <f>ТБО!B4</f>
        <v>7.41</v>
      </c>
      <c r="C16" s="17">
        <v>3.97</v>
      </c>
      <c r="D16" s="24">
        <f>ТБО!E4</f>
        <v>17996.65</v>
      </c>
      <c r="E16" s="19">
        <f>B16*D16</f>
        <v>133355.1765</v>
      </c>
      <c r="F16" s="28" t="e">
        <f>#REF!*D16</f>
        <v>#REF!</v>
      </c>
      <c r="G16" s="25">
        <f>M4</f>
        <v>1</v>
      </c>
      <c r="H16" s="19">
        <f>E16*G16</f>
        <v>133355.1765</v>
      </c>
      <c r="I16" s="82" t="e">
        <f>F16*G16</f>
        <v>#REF!</v>
      </c>
      <c r="J16" s="87"/>
      <c r="K16" s="87"/>
      <c r="L16" s="88"/>
    </row>
    <row r="17" spans="1:12" ht="12.75">
      <c r="A17" s="18" t="s">
        <v>53</v>
      </c>
      <c r="B17" s="17">
        <f>Дератиз!B4</f>
        <v>0.19</v>
      </c>
      <c r="C17" s="17">
        <v>0.11</v>
      </c>
      <c r="D17" s="24">
        <f>Дератиз!E4</f>
        <v>17996.65</v>
      </c>
      <c r="E17" s="19">
        <f>B17*D17</f>
        <v>3419.3635000000004</v>
      </c>
      <c r="F17" s="28" t="e">
        <f>#REF!*D17</f>
        <v>#REF!</v>
      </c>
      <c r="G17" s="25">
        <f>M4</f>
        <v>1</v>
      </c>
      <c r="H17" s="19">
        <f>E17*G17</f>
        <v>3419.3635000000004</v>
      </c>
      <c r="I17" s="82" t="e">
        <f>F17*G17</f>
        <v>#REF!</v>
      </c>
      <c r="J17" s="87"/>
      <c r="K17" s="87"/>
      <c r="L17" s="88"/>
    </row>
    <row r="18" spans="1:13" ht="12.75">
      <c r="A18" s="18" t="s">
        <v>17</v>
      </c>
      <c r="B18" s="17">
        <f>SUM(B6:B17)</f>
        <v>28.24</v>
      </c>
      <c r="C18" s="17">
        <f>SUM(C6:C17)</f>
        <v>18.94</v>
      </c>
      <c r="D18" s="24"/>
      <c r="E18" s="17">
        <f>SUM(E6:E17)</f>
        <v>508225.396</v>
      </c>
      <c r="F18" s="30" t="e">
        <f>SUM(F6:F17)</f>
        <v>#REF!</v>
      </c>
      <c r="G18" s="17"/>
      <c r="H18" s="17">
        <f>SUM(H6:H17)</f>
        <v>508225.396</v>
      </c>
      <c r="I18" s="84" t="e">
        <f>SUM(I6:I17)</f>
        <v>#REF!</v>
      </c>
      <c r="J18" s="87"/>
      <c r="K18" s="87"/>
      <c r="L18" s="88"/>
      <c r="M18" s="44"/>
    </row>
    <row r="19" spans="10:12" ht="12.75">
      <c r="J19" s="45"/>
      <c r="K19" s="89"/>
      <c r="L19" s="89"/>
    </row>
    <row r="20" spans="1:2" ht="12.75">
      <c r="A20" s="47" t="s">
        <v>80</v>
      </c>
      <c r="B20" s="48">
        <f>B18-C18</f>
        <v>9.299999999999997</v>
      </c>
    </row>
    <row r="21" spans="1:11" ht="12.75">
      <c r="A21" s="47" t="s">
        <v>81</v>
      </c>
      <c r="B21">
        <f>B20*40</f>
        <v>371.9999999999999</v>
      </c>
      <c r="H21">
        <f>E18-C18*D17</f>
        <v>167368.84499999997</v>
      </c>
      <c r="K21" t="s">
        <v>73</v>
      </c>
    </row>
    <row r="22" spans="1:2" ht="12.75">
      <c r="A22" s="47" t="s">
        <v>128</v>
      </c>
      <c r="B22">
        <f>B20*60</f>
        <v>557.9999999999998</v>
      </c>
    </row>
    <row r="24" spans="1:2" ht="12.75">
      <c r="A24" s="47" t="s">
        <v>40</v>
      </c>
      <c r="B24" s="48">
        <f>B16-C16</f>
        <v>3.44</v>
      </c>
    </row>
    <row r="25" spans="1:2" ht="12.75">
      <c r="A25" s="47" t="s">
        <v>30</v>
      </c>
      <c r="B25" s="48">
        <f>B11-C11</f>
        <v>0.95</v>
      </c>
    </row>
    <row r="26" spans="2:3" ht="12.75">
      <c r="B26" s="48">
        <f>SUM(B24:B25)</f>
        <v>4.39</v>
      </c>
      <c r="C26" s="48">
        <f>B20-B26</f>
        <v>4.9099999999999975</v>
      </c>
    </row>
    <row r="27" ht="8.25" customHeight="1"/>
    <row r="28" spans="1:4" ht="12.75">
      <c r="A28" s="109" t="s">
        <v>104</v>
      </c>
      <c r="B28" s="109"/>
      <c r="C28" s="90"/>
      <c r="D28" s="90"/>
    </row>
    <row r="29" spans="1:4" ht="12.75">
      <c r="A29" s="93" t="s">
        <v>135</v>
      </c>
      <c r="B29" s="93" t="s">
        <v>134</v>
      </c>
      <c r="C29" s="91"/>
      <c r="D29" s="91"/>
    </row>
    <row r="30" spans="1:7" ht="12.75">
      <c r="A30" s="32" t="s">
        <v>141</v>
      </c>
      <c r="B30" s="59">
        <f>'Швы 23'!B4</f>
        <v>1.41</v>
      </c>
      <c r="C30" s="92"/>
      <c r="D30" s="92"/>
      <c r="G30" s="45"/>
    </row>
    <row r="31" spans="1:4" ht="12.75" hidden="1">
      <c r="A31" s="32" t="s">
        <v>112</v>
      </c>
      <c r="B31" s="59">
        <f>'Швы 22'!B4</f>
        <v>1.41</v>
      </c>
      <c r="C31" s="92"/>
      <c r="D31" s="92"/>
    </row>
    <row r="32" spans="1:4" ht="12.75" hidden="1">
      <c r="A32" s="32" t="s">
        <v>113</v>
      </c>
      <c r="B32" s="59">
        <f>'Швы 22,23,24'!B4</f>
        <v>1.41</v>
      </c>
      <c r="C32" s="92"/>
      <c r="D32" s="92"/>
    </row>
    <row r="33" spans="1:4" ht="12.75">
      <c r="A33" s="32" t="s">
        <v>142</v>
      </c>
      <c r="B33" s="59">
        <f>'Швы 25,26'!B4</f>
        <v>2.53</v>
      </c>
      <c r="C33" s="92"/>
      <c r="D33" s="92"/>
    </row>
    <row r="34" spans="1:4" ht="12.75">
      <c r="A34" s="32" t="s">
        <v>143</v>
      </c>
      <c r="B34" s="59">
        <f>'Швы 18,18а,19'!B4</f>
        <v>1.81</v>
      </c>
      <c r="C34" s="92"/>
      <c r="D34" s="92"/>
    </row>
    <row r="35" spans="1:4" ht="12.75" hidden="1">
      <c r="A35" s="32" t="s">
        <v>114</v>
      </c>
      <c r="B35" s="59">
        <f>'Швы 26'!B4</f>
        <v>2.53</v>
      </c>
      <c r="C35" s="92"/>
      <c r="D35" s="92"/>
    </row>
    <row r="36" spans="1:4" ht="12.75" hidden="1">
      <c r="A36" s="32" t="s">
        <v>115</v>
      </c>
      <c r="B36" s="59">
        <f>'Швы 18а'!B4</f>
        <v>1.81</v>
      </c>
      <c r="C36" s="92"/>
      <c r="D36" s="92"/>
    </row>
    <row r="37" spans="1:4" ht="12.75" hidden="1">
      <c r="A37" s="32" t="s">
        <v>116</v>
      </c>
      <c r="B37" s="59">
        <f>'Швы 18,18а,19'!B4</f>
        <v>1.81</v>
      </c>
      <c r="C37" s="92"/>
      <c r="D37" s="92"/>
    </row>
    <row r="39" spans="1:2" ht="12.75">
      <c r="A39" s="97" t="s">
        <v>117</v>
      </c>
      <c r="B39" s="97"/>
    </row>
    <row r="40" spans="1:2" ht="25.5">
      <c r="A40" s="18" t="s">
        <v>118</v>
      </c>
      <c r="B40" s="32">
        <f>'Уборка придо тер'!H13+'Уборка лестничных клеток'!H13+электрик!H13+сантехника!H15+Лист1!G3/'тек рем'!I1*'тек рем'!E4</f>
        <v>165423.65905476882</v>
      </c>
    </row>
    <row r="41" spans="1:2" ht="25.5">
      <c r="A41" s="18" t="s">
        <v>119</v>
      </c>
      <c r="B41" s="79">
        <f>сантехника!E18*'Сводная Таблица '!B40</f>
        <v>49957.945034540186</v>
      </c>
    </row>
    <row r="42" spans="1:5" ht="25.5">
      <c r="A42" s="18" t="s">
        <v>120</v>
      </c>
      <c r="B42" s="80">
        <f>электрик!H16+ВДГО!H16+ВДГО!H17+Изоляция!H13+ТБО!H15</f>
        <v>118797.64617608707</v>
      </c>
      <c r="E42" s="48"/>
    </row>
    <row r="43" spans="1:2" ht="25.5">
      <c r="A43" s="18" t="s">
        <v>121</v>
      </c>
      <c r="B43" s="80">
        <f>E18*0.01</f>
        <v>5082.25396</v>
      </c>
    </row>
    <row r="44" spans="1:2" ht="12.75">
      <c r="A44" s="18" t="s">
        <v>96</v>
      </c>
      <c r="B44" s="80">
        <f>E18*1.83/100</f>
        <v>9300.524746800002</v>
      </c>
    </row>
    <row r="45" spans="1:2" ht="25.5">
      <c r="A45" s="18" t="s">
        <v>122</v>
      </c>
      <c r="B45" s="80">
        <f>'тек рем'!H16</f>
        <v>18673.905881559458</v>
      </c>
    </row>
    <row r="46" spans="1:2" ht="25.5">
      <c r="A46" s="18" t="s">
        <v>123</v>
      </c>
      <c r="B46" s="80">
        <f>'Уборка придо тер'!H16</f>
        <v>4000</v>
      </c>
    </row>
    <row r="47" spans="1:2" ht="12.75">
      <c r="A47" s="18" t="s">
        <v>127</v>
      </c>
      <c r="B47" s="80">
        <f>'тек рем'!H15</f>
        <v>18673.905881559458</v>
      </c>
    </row>
    <row r="48" spans="1:2" ht="12.75">
      <c r="A48" s="18" t="s">
        <v>124</v>
      </c>
      <c r="B48" s="80">
        <v>0</v>
      </c>
    </row>
    <row r="49" spans="1:2" ht="12.75">
      <c r="A49" s="18" t="s">
        <v>74</v>
      </c>
      <c r="B49" s="80">
        <f>Лист3!E24-Лист1!G3*1.302/'тек рем'!I1*'тек рем'!E4</f>
        <v>116091.0835666318</v>
      </c>
    </row>
    <row r="50" spans="1:2" ht="12.75">
      <c r="A50" s="18" t="s">
        <v>125</v>
      </c>
      <c r="B50" s="80">
        <f>Дератиз!H13</f>
        <v>2334.2382351949323</v>
      </c>
    </row>
    <row r="51" spans="1:2" ht="12.75">
      <c r="A51" s="18" t="s">
        <v>17</v>
      </c>
      <c r="B51" s="80">
        <f>SUM(B40:B50)</f>
        <v>508335.1625371418</v>
      </c>
    </row>
    <row r="52" spans="1:2" ht="12.75">
      <c r="A52" s="51"/>
      <c r="B52" s="51"/>
    </row>
  </sheetData>
  <sheetProtection/>
  <mergeCells count="27">
    <mergeCell ref="A3:K3"/>
    <mergeCell ref="D2:L2"/>
    <mergeCell ref="C1:L1"/>
    <mergeCell ref="F13:F15"/>
    <mergeCell ref="A4:A5"/>
    <mergeCell ref="J4:J5"/>
    <mergeCell ref="D4:D5"/>
    <mergeCell ref="E4:F4"/>
    <mergeCell ref="E9:E10"/>
    <mergeCell ref="G4:I4"/>
    <mergeCell ref="I9:I10"/>
    <mergeCell ref="I13:I15"/>
    <mergeCell ref="K4:L4"/>
    <mergeCell ref="L13:L15"/>
    <mergeCell ref="K13:K15"/>
    <mergeCell ref="G13:G15"/>
    <mergeCell ref="G9:G10"/>
    <mergeCell ref="A39:B39"/>
    <mergeCell ref="L9:L10"/>
    <mergeCell ref="E13:E15"/>
    <mergeCell ref="H13:H15"/>
    <mergeCell ref="J13:J15"/>
    <mergeCell ref="H9:H10"/>
    <mergeCell ref="J9:J10"/>
    <mergeCell ref="K9:K10"/>
    <mergeCell ref="F9:F10"/>
    <mergeCell ref="A28:B28"/>
  </mergeCells>
  <printOptions/>
  <pageMargins left="0.15748031496062992" right="0.15748031496062992" top="0.31496062992125984" bottom="0.3149606299212598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4">
        <f>'Сводная Таблица '!B18</f>
        <v>28.24</v>
      </c>
      <c r="B1" s="12"/>
      <c r="C1" s="12"/>
      <c r="D1" s="12"/>
      <c r="E1" s="12"/>
      <c r="F1" s="12"/>
      <c r="G1" s="12"/>
      <c r="H1" s="12"/>
      <c r="I1" s="7"/>
      <c r="J1" s="7"/>
      <c r="K1" s="7"/>
    </row>
    <row r="2" spans="1:11" ht="12.75">
      <c r="A2" s="37" t="s">
        <v>110</v>
      </c>
      <c r="B2" s="32" t="s">
        <v>140</v>
      </c>
      <c r="C2" s="38"/>
      <c r="D2" s="38"/>
      <c r="E2" s="12"/>
      <c r="F2" s="12"/>
      <c r="G2" s="12"/>
      <c r="H2" s="12">
        <v>0</v>
      </c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1.81</v>
      </c>
      <c r="C4" s="12" t="s">
        <v>4</v>
      </c>
      <c r="D4" s="12" t="s">
        <v>1</v>
      </c>
      <c r="E4" s="12">
        <v>1442.8</v>
      </c>
      <c r="F4" s="12" t="s">
        <v>2</v>
      </c>
      <c r="G4" s="12" t="s">
        <v>5</v>
      </c>
      <c r="H4" s="12">
        <f>B4*E4</f>
        <v>2611.468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/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2611.468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2611.468</v>
      </c>
      <c r="D11" s="12" t="s">
        <v>1</v>
      </c>
      <c r="E11" s="40">
        <v>0.01</v>
      </c>
      <c r="F11" s="40"/>
      <c r="G11" s="12" t="s">
        <v>5</v>
      </c>
      <c r="H11" s="14">
        <f>C11*E11</f>
        <v>26.11468</v>
      </c>
      <c r="I11" s="7"/>
      <c r="J11" s="7"/>
      <c r="K11" s="7"/>
    </row>
    <row r="12" spans="1:11" ht="12.75">
      <c r="A12" s="32" t="s">
        <v>96</v>
      </c>
      <c r="B12" s="12"/>
      <c r="C12" s="12">
        <f>H6</f>
        <v>2611.468</v>
      </c>
      <c r="D12" s="12" t="s">
        <v>1</v>
      </c>
      <c r="E12" s="41">
        <v>0.0183</v>
      </c>
      <c r="F12" s="40"/>
      <c r="G12" s="12" t="s">
        <v>5</v>
      </c>
      <c r="H12" s="14">
        <f>C12*E12</f>
        <v>47.7898644</v>
      </c>
      <c r="I12" s="7"/>
      <c r="J12" s="7"/>
      <c r="K12" s="7"/>
    </row>
    <row r="13" spans="1:11" ht="12.75">
      <c r="A13" s="12"/>
      <c r="B13" s="32" t="s">
        <v>101</v>
      </c>
      <c r="C13" s="32" t="s">
        <v>102</v>
      </c>
      <c r="D13" s="12"/>
      <c r="E13" s="32" t="s">
        <v>103</v>
      </c>
      <c r="F13" s="12"/>
      <c r="G13" s="12"/>
      <c r="H13" s="12"/>
      <c r="I13" s="7"/>
      <c r="J13" s="7"/>
      <c r="K13" s="7"/>
    </row>
    <row r="14" spans="1:11" ht="12.75">
      <c r="A14" s="32" t="s">
        <v>100</v>
      </c>
      <c r="B14" s="14">
        <v>610</v>
      </c>
      <c r="C14" s="12">
        <v>250</v>
      </c>
      <c r="D14" s="12"/>
      <c r="E14" s="12">
        <f>B14/5</f>
        <v>122</v>
      </c>
      <c r="F14" s="12"/>
      <c r="G14" s="12"/>
      <c r="H14" s="12">
        <f>E14*C14/12</f>
        <v>2541.6666666666665</v>
      </c>
      <c r="I14" s="7"/>
      <c r="J14" s="7"/>
      <c r="K14" s="7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7"/>
      <c r="J15" s="7"/>
      <c r="K15" s="7"/>
    </row>
    <row r="16" spans="1:11" ht="12.75">
      <c r="A16" s="12" t="s">
        <v>6</v>
      </c>
      <c r="B16" s="12"/>
      <c r="C16" s="12"/>
      <c r="D16" s="12"/>
      <c r="E16" s="12"/>
      <c r="F16" s="12"/>
      <c r="G16" s="12"/>
      <c r="H16" s="12"/>
      <c r="I16" s="7"/>
      <c r="J16" s="7"/>
      <c r="K16" s="7"/>
    </row>
    <row r="17" spans="1:11" ht="12.75">
      <c r="A17" s="32"/>
      <c r="B17" s="12"/>
      <c r="C17" s="12"/>
      <c r="D17" s="12"/>
      <c r="E17" s="15"/>
      <c r="F17" s="12"/>
      <c r="G17" s="12"/>
      <c r="H17" s="14"/>
      <c r="I17" s="7"/>
      <c r="J17" s="7"/>
      <c r="K17" s="7"/>
    </row>
    <row r="18" spans="1:11" ht="12.75">
      <c r="A18" s="32" t="s">
        <v>74</v>
      </c>
      <c r="B18" s="40"/>
      <c r="C18" s="15">
        <v>0</v>
      </c>
      <c r="D18" s="12"/>
      <c r="E18" s="12"/>
      <c r="F18" s="12"/>
      <c r="G18" s="12"/>
      <c r="H18" s="14">
        <f>C18*Лист3!E24</f>
        <v>0</v>
      </c>
      <c r="I18" s="7"/>
      <c r="J18" s="7"/>
      <c r="K18" s="7"/>
    </row>
    <row r="19" spans="1:11" ht="12.75">
      <c r="A19" s="39" t="s">
        <v>23</v>
      </c>
      <c r="B19" s="12"/>
      <c r="C19" s="12"/>
      <c r="D19" s="12"/>
      <c r="E19" s="12"/>
      <c r="F19" s="12"/>
      <c r="G19" s="12"/>
      <c r="H19" s="14">
        <f>H18+H17+H15+H14+H12+H11+H16</f>
        <v>2615.571211066667</v>
      </c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 t="s">
        <v>17</v>
      </c>
      <c r="C21" s="8">
        <f>H6-H19</f>
        <v>-4.103211066666972</v>
      </c>
      <c r="D21" s="7"/>
      <c r="E21" s="7"/>
      <c r="F21" s="7"/>
      <c r="G21" s="7"/>
      <c r="H21" s="8">
        <f>C21+H16</f>
        <v>-4.103211066666972</v>
      </c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zoomScale="160" zoomScaleNormal="160" zoomScalePageLayoutView="0" workbookViewId="0" topLeftCell="A1">
      <selection activeCell="G19" sqref="G19"/>
    </sheetView>
  </sheetViews>
  <sheetFormatPr defaultColWidth="9.00390625" defaultRowHeight="12.75"/>
  <cols>
    <col min="1" max="1" width="25.75390625" style="0" customWidth="1"/>
    <col min="4" max="4" width="14.125" style="0" customWidth="1"/>
    <col min="8" max="8" width="0" style="0" hidden="1" customWidth="1"/>
  </cols>
  <sheetData>
    <row r="1" spans="1:10" ht="12.75">
      <c r="A1" s="125" t="s">
        <v>126</v>
      </c>
      <c r="B1" s="125"/>
      <c r="C1" s="125"/>
      <c r="D1" s="125"/>
      <c r="E1" s="125"/>
      <c r="F1" s="126"/>
      <c r="G1" s="62"/>
      <c r="H1" s="76"/>
      <c r="I1" s="76"/>
      <c r="J1" s="76"/>
    </row>
    <row r="2" spans="1:10" ht="63.75">
      <c r="A2" s="63" t="s">
        <v>87</v>
      </c>
      <c r="B2" s="63" t="s">
        <v>88</v>
      </c>
      <c r="C2" s="49" t="s">
        <v>89</v>
      </c>
      <c r="D2" s="63" t="s">
        <v>90</v>
      </c>
      <c r="E2" s="63" t="s">
        <v>91</v>
      </c>
      <c r="F2" s="64" t="s">
        <v>92</v>
      </c>
      <c r="G2" s="49" t="s">
        <v>93</v>
      </c>
      <c r="H2" s="52" t="s">
        <v>95</v>
      </c>
      <c r="I2" s="76"/>
      <c r="J2" s="76"/>
    </row>
    <row r="3" spans="1:10" s="53" customFormat="1" ht="12.75">
      <c r="A3" s="77" t="s">
        <v>82</v>
      </c>
      <c r="B3" s="66">
        <v>1</v>
      </c>
      <c r="C3" s="67">
        <v>16000</v>
      </c>
      <c r="D3" s="67">
        <f aca="true" t="shared" si="0" ref="D3:D15">B3*C3</f>
        <v>16000</v>
      </c>
      <c r="E3" s="68">
        <v>0.4</v>
      </c>
      <c r="F3" s="69">
        <f aca="true" t="shared" si="1" ref="F3:F15">B3*C3*E3</f>
        <v>6400</v>
      </c>
      <c r="G3" s="62">
        <f aca="true" t="shared" si="2" ref="G3:G15">D3+F3</f>
        <v>22400</v>
      </c>
      <c r="H3" s="76"/>
      <c r="I3" s="76"/>
      <c r="J3" s="76"/>
    </row>
    <row r="4" spans="1:10" ht="12.75" hidden="1">
      <c r="A4" s="65">
        <f>G4/G3-100%</f>
        <v>-0.30892857142857144</v>
      </c>
      <c r="B4" s="66">
        <v>1</v>
      </c>
      <c r="C4" s="67">
        <v>8600</v>
      </c>
      <c r="D4" s="67">
        <f>B4*C4</f>
        <v>8600</v>
      </c>
      <c r="E4" s="68">
        <v>0.8</v>
      </c>
      <c r="F4" s="69">
        <f>B4*C4*E4</f>
        <v>6880</v>
      </c>
      <c r="G4" s="62">
        <f>D4+F4</f>
        <v>15480</v>
      </c>
      <c r="H4" s="76">
        <f>G4-G3</f>
        <v>-6920</v>
      </c>
      <c r="I4" s="76"/>
      <c r="J4" s="76"/>
    </row>
    <row r="5" spans="1:10" s="53" customFormat="1" ht="12.75">
      <c r="A5" s="62" t="s">
        <v>83</v>
      </c>
      <c r="B5" s="66">
        <v>0.5</v>
      </c>
      <c r="C5" s="62">
        <v>12000</v>
      </c>
      <c r="D5" s="67">
        <f t="shared" si="0"/>
        <v>6000</v>
      </c>
      <c r="E5" s="68">
        <v>0.4</v>
      </c>
      <c r="F5" s="69">
        <f t="shared" si="1"/>
        <v>2400</v>
      </c>
      <c r="G5" s="62">
        <f t="shared" si="2"/>
        <v>8400</v>
      </c>
      <c r="H5" s="76"/>
      <c r="I5" s="76"/>
      <c r="J5" s="76"/>
    </row>
    <row r="6" spans="1:10" ht="12.75" hidden="1">
      <c r="A6" s="65">
        <f>C6/C5-100%</f>
        <v>-0.44999999999999996</v>
      </c>
      <c r="B6" s="66">
        <v>1</v>
      </c>
      <c r="C6" s="67">
        <v>6600</v>
      </c>
      <c r="D6" s="67">
        <f t="shared" si="0"/>
        <v>6600</v>
      </c>
      <c r="E6" s="68">
        <v>0.8</v>
      </c>
      <c r="F6" s="69">
        <f t="shared" si="1"/>
        <v>5280</v>
      </c>
      <c r="G6" s="62">
        <f t="shared" si="2"/>
        <v>11880</v>
      </c>
      <c r="H6" s="76">
        <f>G6/2-G5</f>
        <v>-2460</v>
      </c>
      <c r="I6" s="76"/>
      <c r="J6" s="76"/>
    </row>
    <row r="7" spans="1:10" s="53" customFormat="1" ht="12.75">
      <c r="A7" s="62" t="s">
        <v>97</v>
      </c>
      <c r="B7" s="66">
        <v>3</v>
      </c>
      <c r="C7" s="62">
        <v>17000</v>
      </c>
      <c r="D7" s="67">
        <f t="shared" si="0"/>
        <v>51000</v>
      </c>
      <c r="E7" s="68">
        <v>0.4</v>
      </c>
      <c r="F7" s="69">
        <f t="shared" si="1"/>
        <v>20400</v>
      </c>
      <c r="G7" s="62">
        <f t="shared" si="2"/>
        <v>71400</v>
      </c>
      <c r="H7" s="76"/>
      <c r="I7" s="76">
        <f>G7/3</f>
        <v>23800</v>
      </c>
      <c r="J7" s="76"/>
    </row>
    <row r="8" spans="1:10" ht="12.75" hidden="1">
      <c r="A8" s="65">
        <f>G8/G7-100%</f>
        <v>-0.6672268907563026</v>
      </c>
      <c r="B8" s="66">
        <v>2</v>
      </c>
      <c r="C8" s="67">
        <v>6600</v>
      </c>
      <c r="D8" s="67">
        <f t="shared" si="0"/>
        <v>13200</v>
      </c>
      <c r="E8" s="68">
        <v>0.8</v>
      </c>
      <c r="F8" s="69">
        <f t="shared" si="1"/>
        <v>10560</v>
      </c>
      <c r="G8" s="62">
        <f t="shared" si="2"/>
        <v>23760</v>
      </c>
      <c r="H8" s="76">
        <f>G8/2-G7/2</f>
        <v>-23820</v>
      </c>
      <c r="I8" s="76"/>
      <c r="J8" s="76"/>
    </row>
    <row r="9" spans="1:10" ht="12.75" hidden="1">
      <c r="A9" s="62"/>
      <c r="B9" s="66">
        <v>0</v>
      </c>
      <c r="C9" s="62">
        <v>5400</v>
      </c>
      <c r="D9" s="67">
        <f t="shared" si="0"/>
        <v>0</v>
      </c>
      <c r="E9" s="68">
        <v>0.85</v>
      </c>
      <c r="F9" s="69">
        <f t="shared" si="1"/>
        <v>0</v>
      </c>
      <c r="G9" s="62">
        <f t="shared" si="2"/>
        <v>0</v>
      </c>
      <c r="H9" s="76"/>
      <c r="I9" s="76"/>
      <c r="J9" s="76"/>
    </row>
    <row r="10" spans="1:10" ht="12.75" hidden="1">
      <c r="A10" s="65" t="e">
        <f>G10/G9-100%</f>
        <v>#DIV/0!</v>
      </c>
      <c r="B10" s="66">
        <v>0</v>
      </c>
      <c r="C10" s="67">
        <v>6500</v>
      </c>
      <c r="D10" s="67">
        <f t="shared" si="0"/>
        <v>0</v>
      </c>
      <c r="E10" s="68">
        <v>0.85</v>
      </c>
      <c r="F10" s="69">
        <f t="shared" si="1"/>
        <v>0</v>
      </c>
      <c r="G10" s="62">
        <f t="shared" si="2"/>
        <v>0</v>
      </c>
      <c r="H10" s="76">
        <f>G10-G9</f>
        <v>0</v>
      </c>
      <c r="I10" s="76"/>
      <c r="J10" s="76"/>
    </row>
    <row r="11" spans="1:10" ht="12.75">
      <c r="A11" s="62" t="s">
        <v>84</v>
      </c>
      <c r="B11" s="66">
        <v>0</v>
      </c>
      <c r="C11" s="62">
        <v>16000</v>
      </c>
      <c r="D11" s="67">
        <f t="shared" si="0"/>
        <v>0</v>
      </c>
      <c r="E11" s="68">
        <v>0.4</v>
      </c>
      <c r="F11" s="69">
        <f t="shared" si="1"/>
        <v>0</v>
      </c>
      <c r="G11" s="62">
        <f t="shared" si="2"/>
        <v>0</v>
      </c>
      <c r="H11" s="76"/>
      <c r="I11" s="76"/>
      <c r="J11" s="76"/>
    </row>
    <row r="12" spans="1:10" ht="12.75" hidden="1">
      <c r="A12" s="65">
        <f>C12/C11-100%</f>
        <v>-0.35624999999999996</v>
      </c>
      <c r="B12" s="66">
        <v>1</v>
      </c>
      <c r="C12" s="67">
        <v>10300</v>
      </c>
      <c r="D12" s="67">
        <f t="shared" si="0"/>
        <v>10300</v>
      </c>
      <c r="E12" s="68">
        <v>0.45</v>
      </c>
      <c r="F12" s="69">
        <f t="shared" si="1"/>
        <v>4635</v>
      </c>
      <c r="G12" s="62">
        <f t="shared" si="2"/>
        <v>14935</v>
      </c>
      <c r="H12" s="76">
        <f>G12/2-G11</f>
        <v>7467.5</v>
      </c>
      <c r="I12" s="76"/>
      <c r="J12" s="76"/>
    </row>
    <row r="13" spans="1:10" ht="12.75" hidden="1">
      <c r="A13" s="62"/>
      <c r="B13" s="66"/>
      <c r="C13" s="62"/>
      <c r="D13" s="67"/>
      <c r="E13" s="68"/>
      <c r="F13" s="69"/>
      <c r="G13" s="62"/>
      <c r="H13" s="76"/>
      <c r="I13" s="76"/>
      <c r="J13" s="76"/>
    </row>
    <row r="14" spans="1:10" ht="12.75" hidden="1">
      <c r="A14" s="70"/>
      <c r="B14" s="66"/>
      <c r="C14" s="67"/>
      <c r="D14" s="67"/>
      <c r="E14" s="68"/>
      <c r="F14" s="69"/>
      <c r="G14" s="62"/>
      <c r="H14" s="76"/>
      <c r="I14" s="76"/>
      <c r="J14" s="76"/>
    </row>
    <row r="15" spans="1:10" s="53" customFormat="1" ht="12.75">
      <c r="A15" s="62" t="s">
        <v>85</v>
      </c>
      <c r="B15" s="66">
        <v>5</v>
      </c>
      <c r="C15" s="62">
        <v>10000</v>
      </c>
      <c r="D15" s="67">
        <f t="shared" si="0"/>
        <v>50000</v>
      </c>
      <c r="E15" s="68">
        <v>0.4</v>
      </c>
      <c r="F15" s="69">
        <f t="shared" si="1"/>
        <v>20000</v>
      </c>
      <c r="G15" s="62">
        <f t="shared" si="2"/>
        <v>70000</v>
      </c>
      <c r="H15" s="76"/>
      <c r="I15" s="76">
        <f>G15/B15</f>
        <v>14000</v>
      </c>
      <c r="J15" s="76"/>
    </row>
    <row r="16" spans="1:10" ht="12.75" hidden="1">
      <c r="A16" s="65">
        <f>G16/G15-100%</f>
        <v>-0.27149999999999996</v>
      </c>
      <c r="B16" s="66">
        <v>5</v>
      </c>
      <c r="C16" s="67">
        <v>7285</v>
      </c>
      <c r="D16" s="67">
        <f>B16*C16</f>
        <v>36425</v>
      </c>
      <c r="E16" s="68">
        <v>0.4</v>
      </c>
      <c r="F16" s="69">
        <f>B16*C16*E16</f>
        <v>14570</v>
      </c>
      <c r="G16" s="62">
        <f>D16+F16</f>
        <v>50995</v>
      </c>
      <c r="H16" s="76">
        <f>(G16-G15)/5</f>
        <v>-3801</v>
      </c>
      <c r="I16" s="76"/>
      <c r="J16" s="76"/>
    </row>
    <row r="17" spans="1:10" ht="12.75">
      <c r="A17" s="71" t="s">
        <v>86</v>
      </c>
      <c r="B17" s="60">
        <f>SUM(B3:B15)</f>
        <v>14.5</v>
      </c>
      <c r="C17" s="60">
        <f>SUM(C3:C15)</f>
        <v>115000</v>
      </c>
      <c r="D17" s="60">
        <f>SUM(D3:D15)</f>
        <v>161700</v>
      </c>
      <c r="E17" s="60"/>
      <c r="F17" s="60">
        <f>SUM(F3:F15)</f>
        <v>76555</v>
      </c>
      <c r="G17" s="60">
        <f>G15+G7+G5+G3+G11</f>
        <v>172200</v>
      </c>
      <c r="H17" s="76"/>
      <c r="I17" s="76"/>
      <c r="J17" s="76"/>
    </row>
    <row r="18" spans="1:10" ht="12.75" hidden="1">
      <c r="A18" s="71"/>
      <c r="B18" s="60"/>
      <c r="C18" s="60"/>
      <c r="D18" s="60"/>
      <c r="E18" s="60"/>
      <c r="F18" s="61"/>
      <c r="G18" s="50">
        <f>G4+G6+G8+G10+G12+G14+G16</f>
        <v>117050</v>
      </c>
      <c r="H18" s="76"/>
      <c r="I18" s="76"/>
      <c r="J18" s="76"/>
    </row>
    <row r="19" spans="1:10" ht="12.75">
      <c r="A19" s="72"/>
      <c r="B19" s="50"/>
      <c r="C19" s="50"/>
      <c r="D19" s="50"/>
      <c r="E19" s="50"/>
      <c r="F19" s="50"/>
      <c r="G19" s="50"/>
      <c r="H19" s="76"/>
      <c r="I19" s="76"/>
      <c r="J19" s="76"/>
    </row>
    <row r="20" spans="1:10" ht="18">
      <c r="A20" s="127"/>
      <c r="B20" s="127"/>
      <c r="C20" s="127"/>
      <c r="D20" s="127"/>
      <c r="E20" s="78"/>
      <c r="F20" s="78"/>
      <c r="G20" s="78">
        <f>G3*'тек рем'!E4/'тек рем'!I1</f>
        <v>20914.774587346594</v>
      </c>
      <c r="H20" s="78"/>
      <c r="I20" s="78"/>
      <c r="J20" s="76"/>
    </row>
    <row r="21" spans="1:10" ht="61.5" customHeight="1">
      <c r="A21" s="73"/>
      <c r="B21" s="74"/>
      <c r="C21" s="74"/>
      <c r="D21" s="74"/>
      <c r="E21" s="78"/>
      <c r="F21" s="78"/>
      <c r="G21" s="78"/>
      <c r="H21" s="78"/>
      <c r="I21" s="78"/>
      <c r="J21" s="76"/>
    </row>
    <row r="22" spans="1:10" ht="15.75">
      <c r="A22" s="73"/>
      <c r="B22" s="73"/>
      <c r="C22" s="73"/>
      <c r="D22" s="75"/>
      <c r="E22" s="78"/>
      <c r="F22" s="78"/>
      <c r="G22" s="78"/>
      <c r="H22" s="78"/>
      <c r="I22" s="78"/>
      <c r="J22" s="76"/>
    </row>
    <row r="23" spans="1:10" ht="15.75">
      <c r="A23" s="73"/>
      <c r="B23" s="73"/>
      <c r="C23" s="73"/>
      <c r="D23" s="75"/>
      <c r="E23" s="78"/>
      <c r="F23" s="78"/>
      <c r="G23" s="78"/>
      <c r="H23" s="78"/>
      <c r="I23" s="78"/>
      <c r="J23" s="76"/>
    </row>
    <row r="24" spans="1:10" ht="15.75">
      <c r="A24" s="73"/>
      <c r="B24" s="73"/>
      <c r="C24" s="73"/>
      <c r="D24" s="75"/>
      <c r="E24" s="78"/>
      <c r="F24" s="78"/>
      <c r="G24" s="78"/>
      <c r="H24" s="78"/>
      <c r="I24" s="78"/>
      <c r="J24" s="76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6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6"/>
    </row>
    <row r="27" spans="1:9" ht="12.75">
      <c r="A27" s="45"/>
      <c r="B27" s="45"/>
      <c r="C27" s="45"/>
      <c r="D27" s="45"/>
      <c r="E27" s="45"/>
      <c r="F27" s="45"/>
      <c r="G27" s="45"/>
      <c r="H27" s="45"/>
      <c r="I27" s="45"/>
    </row>
    <row r="28" spans="1:9" ht="12.75">
      <c r="A28" s="45"/>
      <c r="B28" s="45"/>
      <c r="C28" s="45"/>
      <c r="D28" s="45"/>
      <c r="E28" s="45"/>
      <c r="F28" s="45"/>
      <c r="G28" s="45"/>
      <c r="H28" s="45"/>
      <c r="I28" s="45"/>
    </row>
    <row r="29" spans="1:9" ht="12.75">
      <c r="A29" s="45"/>
      <c r="B29" s="45"/>
      <c r="C29" s="45"/>
      <c r="D29" s="45"/>
      <c r="E29" s="45"/>
      <c r="F29" s="45"/>
      <c r="G29" s="45"/>
      <c r="H29" s="45"/>
      <c r="I29" s="45"/>
    </row>
  </sheetData>
  <sheetProtection/>
  <mergeCells count="2">
    <mergeCell ref="A1:F1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4">
        <f>'Сводная Таблица '!B18</f>
        <v>28.24</v>
      </c>
      <c r="B1" s="12"/>
      <c r="C1" s="12"/>
      <c r="D1" s="12"/>
      <c r="E1" s="12"/>
      <c r="F1" s="12"/>
      <c r="G1" s="12"/>
      <c r="H1" s="12"/>
      <c r="I1" s="7"/>
      <c r="J1" s="7"/>
      <c r="K1" s="7"/>
    </row>
    <row r="2" spans="1:11" ht="12.75">
      <c r="A2" s="37" t="s">
        <v>110</v>
      </c>
      <c r="B2" s="32" t="s">
        <v>132</v>
      </c>
      <c r="C2" s="38"/>
      <c r="D2" s="38"/>
      <c r="E2" s="12"/>
      <c r="F2" s="12"/>
      <c r="G2" s="12"/>
      <c r="H2" s="12">
        <v>0</v>
      </c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1.81</v>
      </c>
      <c r="C4" s="12" t="s">
        <v>4</v>
      </c>
      <c r="D4" s="12" t="s">
        <v>1</v>
      </c>
      <c r="E4" s="12">
        <v>1442.8</v>
      </c>
      <c r="F4" s="12" t="s">
        <v>2</v>
      </c>
      <c r="G4" s="12" t="s">
        <v>5</v>
      </c>
      <c r="H4" s="12">
        <f>B4*E4</f>
        <v>2611.468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/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2611.468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2611.468</v>
      </c>
      <c r="D11" s="12" t="s">
        <v>1</v>
      </c>
      <c r="E11" s="40">
        <v>0.01</v>
      </c>
      <c r="F11" s="40"/>
      <c r="G11" s="12" t="s">
        <v>5</v>
      </c>
      <c r="H11" s="14">
        <f>C11*E11</f>
        <v>26.11468</v>
      </c>
      <c r="I11" s="7"/>
      <c r="J11" s="7"/>
      <c r="K11" s="7"/>
    </row>
    <row r="12" spans="1:11" ht="12.75">
      <c r="A12" s="32" t="s">
        <v>96</v>
      </c>
      <c r="B12" s="12"/>
      <c r="C12" s="12">
        <f>H6</f>
        <v>2611.468</v>
      </c>
      <c r="D12" s="12" t="s">
        <v>1</v>
      </c>
      <c r="E12" s="41">
        <v>0.0183</v>
      </c>
      <c r="F12" s="40"/>
      <c r="G12" s="12" t="s">
        <v>5</v>
      </c>
      <c r="H12" s="14">
        <f>C12*E12</f>
        <v>47.7898644</v>
      </c>
      <c r="I12" s="7"/>
      <c r="J12" s="7"/>
      <c r="K12" s="7"/>
    </row>
    <row r="13" spans="1:11" ht="12.75">
      <c r="A13" s="12"/>
      <c r="B13" s="32" t="s">
        <v>101</v>
      </c>
      <c r="C13" s="32" t="s">
        <v>102</v>
      </c>
      <c r="D13" s="12"/>
      <c r="E13" s="32" t="s">
        <v>103</v>
      </c>
      <c r="F13" s="12"/>
      <c r="G13" s="12"/>
      <c r="H13" s="12"/>
      <c r="I13" s="7"/>
      <c r="J13" s="7"/>
      <c r="K13" s="7"/>
    </row>
    <row r="14" spans="1:11" ht="12.75">
      <c r="A14" s="32" t="s">
        <v>100</v>
      </c>
      <c r="B14" s="14">
        <v>610</v>
      </c>
      <c r="C14" s="12">
        <v>250</v>
      </c>
      <c r="D14" s="12"/>
      <c r="E14" s="12">
        <f>B14/5</f>
        <v>122</v>
      </c>
      <c r="F14" s="12"/>
      <c r="G14" s="12"/>
      <c r="H14" s="12">
        <f>E14*C14/12</f>
        <v>2541.6666666666665</v>
      </c>
      <c r="I14" s="7"/>
      <c r="J14" s="7"/>
      <c r="K14" s="7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7"/>
      <c r="J15" s="7"/>
      <c r="K15" s="7"/>
    </row>
    <row r="16" spans="1:11" ht="12.75">
      <c r="A16" s="12" t="s">
        <v>6</v>
      </c>
      <c r="B16" s="12"/>
      <c r="C16" s="12"/>
      <c r="D16" s="12"/>
      <c r="E16" s="12"/>
      <c r="F16" s="12"/>
      <c r="G16" s="12"/>
      <c r="H16" s="12"/>
      <c r="I16" s="7"/>
      <c r="J16" s="7"/>
      <c r="K16" s="7"/>
    </row>
    <row r="17" spans="1:11" ht="12.75">
      <c r="A17" s="32"/>
      <c r="B17" s="12"/>
      <c r="C17" s="12"/>
      <c r="D17" s="12"/>
      <c r="E17" s="15"/>
      <c r="F17" s="12"/>
      <c r="G17" s="12"/>
      <c r="H17" s="14"/>
      <c r="I17" s="7"/>
      <c r="J17" s="7"/>
      <c r="K17" s="7"/>
    </row>
    <row r="18" spans="1:11" ht="12.75">
      <c r="A18" s="32" t="s">
        <v>74</v>
      </c>
      <c r="B18" s="40"/>
      <c r="C18" s="15">
        <v>0</v>
      </c>
      <c r="D18" s="12"/>
      <c r="E18" s="12"/>
      <c r="F18" s="12"/>
      <c r="G18" s="12"/>
      <c r="H18" s="14">
        <f>C18*Лист3!E24</f>
        <v>0</v>
      </c>
      <c r="I18" s="7"/>
      <c r="J18" s="7"/>
      <c r="K18" s="7"/>
    </row>
    <row r="19" spans="1:11" ht="12.75">
      <c r="A19" s="39" t="s">
        <v>23</v>
      </c>
      <c r="B19" s="12"/>
      <c r="C19" s="12"/>
      <c r="D19" s="12"/>
      <c r="E19" s="12"/>
      <c r="F19" s="12"/>
      <c r="G19" s="12"/>
      <c r="H19" s="14">
        <f>H18+H17+H15+H14+H12+H11+H16</f>
        <v>2615.571211066667</v>
      </c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 t="s">
        <v>17</v>
      </c>
      <c r="C21" s="8">
        <f>H6-H19</f>
        <v>-4.103211066666972</v>
      </c>
      <c r="D21" s="7"/>
      <c r="E21" s="7"/>
      <c r="F21" s="7"/>
      <c r="G21" s="7"/>
      <c r="H21" s="8">
        <f>C21+H16</f>
        <v>-4.103211066666972</v>
      </c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4">
        <f>'Сводная Таблица '!B18</f>
        <v>28.24</v>
      </c>
      <c r="B1" s="12"/>
      <c r="C1" s="12"/>
      <c r="D1" s="12"/>
      <c r="E1" s="12"/>
      <c r="F1" s="12"/>
      <c r="G1" s="12"/>
      <c r="H1" s="12"/>
      <c r="I1" s="7"/>
      <c r="J1" s="7"/>
      <c r="K1" s="7"/>
    </row>
    <row r="2" spans="1:11" ht="12.75">
      <c r="A2" s="37" t="s">
        <v>110</v>
      </c>
      <c r="B2" s="32" t="s">
        <v>131</v>
      </c>
      <c r="C2" s="38"/>
      <c r="D2" s="38"/>
      <c r="E2" s="12"/>
      <c r="F2" s="12"/>
      <c r="G2" s="12"/>
      <c r="H2" s="12">
        <v>0</v>
      </c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1.85</v>
      </c>
      <c r="C4" s="12" t="s">
        <v>4</v>
      </c>
      <c r="D4" s="12" t="s">
        <v>1</v>
      </c>
      <c r="E4" s="12">
        <v>1442</v>
      </c>
      <c r="F4" s="12" t="s">
        <v>2</v>
      </c>
      <c r="G4" s="12" t="s">
        <v>5</v>
      </c>
      <c r="H4" s="12">
        <f>B4*E4</f>
        <v>2667.7000000000003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/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2667.7000000000003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2667.7000000000003</v>
      </c>
      <c r="D11" s="12" t="s">
        <v>1</v>
      </c>
      <c r="E11" s="40">
        <v>0.01</v>
      </c>
      <c r="F11" s="40"/>
      <c r="G11" s="12" t="s">
        <v>5</v>
      </c>
      <c r="H11" s="14">
        <f>C11*E11</f>
        <v>26.677000000000003</v>
      </c>
      <c r="I11" s="7"/>
      <c r="J11" s="7"/>
      <c r="K11" s="7"/>
    </row>
    <row r="12" spans="1:11" ht="12.75">
      <c r="A12" s="32" t="s">
        <v>96</v>
      </c>
      <c r="B12" s="12"/>
      <c r="C12" s="12">
        <f>H6</f>
        <v>2667.7000000000003</v>
      </c>
      <c r="D12" s="12" t="s">
        <v>1</v>
      </c>
      <c r="E12" s="41">
        <v>0.0183</v>
      </c>
      <c r="F12" s="40"/>
      <c r="G12" s="12" t="s">
        <v>5</v>
      </c>
      <c r="H12" s="14">
        <f>C12*E12</f>
        <v>48.81891</v>
      </c>
      <c r="I12" s="7"/>
      <c r="J12" s="7"/>
      <c r="K12" s="7"/>
    </row>
    <row r="13" spans="1:11" ht="12.75">
      <c r="A13" s="12"/>
      <c r="B13" s="32" t="s">
        <v>101</v>
      </c>
      <c r="C13" s="32" t="s">
        <v>102</v>
      </c>
      <c r="D13" s="12"/>
      <c r="E13" s="32" t="s">
        <v>103</v>
      </c>
      <c r="F13" s="12"/>
      <c r="G13" s="12"/>
      <c r="H13" s="12"/>
      <c r="I13" s="7"/>
      <c r="J13" s="7"/>
      <c r="K13" s="7"/>
    </row>
    <row r="14" spans="1:11" ht="12.75">
      <c r="A14" s="32" t="s">
        <v>100</v>
      </c>
      <c r="B14" s="14">
        <v>610</v>
      </c>
      <c r="C14" s="12">
        <v>250</v>
      </c>
      <c r="D14" s="12"/>
      <c r="E14" s="12">
        <f>B14/5</f>
        <v>122</v>
      </c>
      <c r="F14" s="12"/>
      <c r="G14" s="12"/>
      <c r="H14" s="12">
        <f>E14*C14/12</f>
        <v>2541.6666666666665</v>
      </c>
      <c r="I14" s="7"/>
      <c r="J14" s="7"/>
      <c r="K14" s="7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7"/>
      <c r="J15" s="7"/>
      <c r="K15" s="7"/>
    </row>
    <row r="16" spans="1:11" ht="12.75">
      <c r="A16" s="12" t="s">
        <v>6</v>
      </c>
      <c r="B16" s="12"/>
      <c r="C16" s="12"/>
      <c r="D16" s="12"/>
      <c r="E16" s="12"/>
      <c r="F16" s="12"/>
      <c r="G16" s="12"/>
      <c r="H16" s="12"/>
      <c r="I16" s="7"/>
      <c r="J16" s="7"/>
      <c r="K16" s="7"/>
    </row>
    <row r="17" spans="1:11" ht="12.75">
      <c r="A17" s="32"/>
      <c r="B17" s="12"/>
      <c r="C17" s="12"/>
      <c r="D17" s="12"/>
      <c r="E17" s="15"/>
      <c r="F17" s="12"/>
      <c r="G17" s="12"/>
      <c r="H17" s="14"/>
      <c r="I17" s="7"/>
      <c r="J17" s="7"/>
      <c r="K17" s="7"/>
    </row>
    <row r="18" spans="1:11" ht="12.75">
      <c r="A18" s="32" t="s">
        <v>74</v>
      </c>
      <c r="B18" s="40"/>
      <c r="C18" s="15">
        <v>0</v>
      </c>
      <c r="D18" s="12"/>
      <c r="E18" s="12"/>
      <c r="F18" s="12"/>
      <c r="G18" s="12"/>
      <c r="H18" s="14">
        <f>C18*Лист3!E24</f>
        <v>0</v>
      </c>
      <c r="I18" s="7"/>
      <c r="J18" s="7"/>
      <c r="K18" s="7"/>
    </row>
    <row r="19" spans="1:11" ht="12.75">
      <c r="A19" s="39" t="s">
        <v>23</v>
      </c>
      <c r="B19" s="12"/>
      <c r="C19" s="12"/>
      <c r="D19" s="12"/>
      <c r="E19" s="12"/>
      <c r="F19" s="12"/>
      <c r="G19" s="12"/>
      <c r="H19" s="14">
        <f>H18+H17+H15+H14+H12+H11+H16</f>
        <v>2617.1625766666666</v>
      </c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 t="s">
        <v>17</v>
      </c>
      <c r="C21" s="8">
        <f>H6-H19</f>
        <v>50.53742333333366</v>
      </c>
      <c r="D21" s="7"/>
      <c r="E21" s="7"/>
      <c r="F21" s="7"/>
      <c r="G21" s="7"/>
      <c r="H21" s="8">
        <f>C21+H16</f>
        <v>50.53742333333366</v>
      </c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4">
        <f>'Сводная Таблица '!B18</f>
        <v>28.24</v>
      </c>
      <c r="B1" s="12"/>
      <c r="C1" s="12"/>
      <c r="D1" s="12"/>
      <c r="E1" s="12"/>
      <c r="F1" s="12"/>
      <c r="G1" s="12"/>
      <c r="H1" s="12"/>
      <c r="I1" s="7"/>
      <c r="J1" s="7"/>
      <c r="K1" s="7"/>
    </row>
    <row r="2" spans="1:11" ht="12.75">
      <c r="A2" s="37" t="s">
        <v>110</v>
      </c>
      <c r="B2" s="12">
        <v>25.26</v>
      </c>
      <c r="C2" s="38"/>
      <c r="D2" s="38"/>
      <c r="E2" s="12"/>
      <c r="F2" s="12"/>
      <c r="G2" s="12"/>
      <c r="H2" s="12">
        <v>0</v>
      </c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2.53</v>
      </c>
      <c r="C4" s="12" t="s">
        <v>4</v>
      </c>
      <c r="D4" s="12" t="s">
        <v>1</v>
      </c>
      <c r="E4" s="12">
        <v>1427.3</v>
      </c>
      <c r="F4" s="12" t="s">
        <v>2</v>
      </c>
      <c r="G4" s="12" t="s">
        <v>5</v>
      </c>
      <c r="H4" s="12">
        <f>B4*E4</f>
        <v>3611.0689999999995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/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3611.0689999999995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3611.0689999999995</v>
      </c>
      <c r="D11" s="12" t="s">
        <v>1</v>
      </c>
      <c r="E11" s="40">
        <v>0.01</v>
      </c>
      <c r="F11" s="40"/>
      <c r="G11" s="12" t="s">
        <v>5</v>
      </c>
      <c r="H11" s="14">
        <f>C11*E11</f>
        <v>36.11069</v>
      </c>
      <c r="I11" s="7"/>
      <c r="J11" s="7"/>
      <c r="K11" s="7"/>
    </row>
    <row r="12" spans="1:11" ht="12.75">
      <c r="A12" s="32" t="s">
        <v>96</v>
      </c>
      <c r="B12" s="12"/>
      <c r="C12" s="12">
        <f>H6</f>
        <v>3611.0689999999995</v>
      </c>
      <c r="D12" s="12" t="s">
        <v>1</v>
      </c>
      <c r="E12" s="41">
        <v>0.0183</v>
      </c>
      <c r="F12" s="40"/>
      <c r="G12" s="12" t="s">
        <v>5</v>
      </c>
      <c r="H12" s="14">
        <f>C12*E12</f>
        <v>66.0825627</v>
      </c>
      <c r="I12" s="7"/>
      <c r="J12" s="7"/>
      <c r="K12" s="7"/>
    </row>
    <row r="13" spans="1:11" ht="12.75">
      <c r="A13" s="12"/>
      <c r="B13" s="32" t="s">
        <v>101</v>
      </c>
      <c r="C13" s="32" t="s">
        <v>102</v>
      </c>
      <c r="D13" s="12"/>
      <c r="E13" s="32" t="s">
        <v>103</v>
      </c>
      <c r="F13" s="12"/>
      <c r="G13" s="12"/>
      <c r="H13" s="12"/>
      <c r="I13" s="7"/>
      <c r="J13" s="7"/>
      <c r="K13" s="7"/>
    </row>
    <row r="14" spans="1:11" ht="12.75">
      <c r="A14" s="32" t="s">
        <v>100</v>
      </c>
      <c r="B14" s="14">
        <v>600</v>
      </c>
      <c r="C14" s="12">
        <v>350</v>
      </c>
      <c r="D14" s="12"/>
      <c r="E14" s="12">
        <f>B14/5</f>
        <v>120</v>
      </c>
      <c r="F14" s="12"/>
      <c r="G14" s="12"/>
      <c r="H14" s="12">
        <f>E14*C14/12</f>
        <v>3500</v>
      </c>
      <c r="I14" s="7"/>
      <c r="J14" s="7"/>
      <c r="K14" s="7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7"/>
      <c r="J15" s="7"/>
      <c r="K15" s="7"/>
    </row>
    <row r="16" spans="1:11" ht="12.75">
      <c r="A16" s="12" t="s">
        <v>6</v>
      </c>
      <c r="B16" s="12"/>
      <c r="C16" s="12"/>
      <c r="D16" s="12"/>
      <c r="E16" s="12"/>
      <c r="F16" s="12"/>
      <c r="G16" s="12"/>
      <c r="H16" s="12"/>
      <c r="I16" s="7"/>
      <c r="J16" s="7"/>
      <c r="K16" s="7"/>
    </row>
    <row r="17" spans="1:11" ht="12.75">
      <c r="A17" s="32"/>
      <c r="B17" s="12"/>
      <c r="C17" s="12"/>
      <c r="D17" s="12"/>
      <c r="E17" s="15"/>
      <c r="F17" s="12"/>
      <c r="G17" s="12"/>
      <c r="H17" s="14"/>
      <c r="I17" s="7"/>
      <c r="J17" s="7"/>
      <c r="K17" s="7"/>
    </row>
    <row r="18" spans="1:11" ht="12.75">
      <c r="A18" s="32" t="s">
        <v>74</v>
      </c>
      <c r="B18" s="40"/>
      <c r="C18" s="15">
        <v>0</v>
      </c>
      <c r="D18" s="12"/>
      <c r="E18" s="12"/>
      <c r="F18" s="12"/>
      <c r="G18" s="12"/>
      <c r="H18" s="14">
        <f>C18*Лист3!E24</f>
        <v>0</v>
      </c>
      <c r="I18" s="7"/>
      <c r="J18" s="7"/>
      <c r="K18" s="7"/>
    </row>
    <row r="19" spans="1:11" ht="12.75">
      <c r="A19" s="39" t="s">
        <v>23</v>
      </c>
      <c r="B19" s="12"/>
      <c r="C19" s="12"/>
      <c r="D19" s="12"/>
      <c r="E19" s="12"/>
      <c r="F19" s="12"/>
      <c r="G19" s="12"/>
      <c r="H19" s="14">
        <f>H18+H17+H15+H14+H12+H11+H16</f>
        <v>3602.1932527</v>
      </c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 t="s">
        <v>17</v>
      </c>
      <c r="C21" s="8">
        <f>H6-H19</f>
        <v>8.875747299999603</v>
      </c>
      <c r="D21" s="7"/>
      <c r="E21" s="7"/>
      <c r="F21" s="7"/>
      <c r="G21" s="7"/>
      <c r="H21" s="8">
        <f>C21+H16</f>
        <v>8.875747299999603</v>
      </c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44" sqref="H44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4">
        <f>'Сводная Таблица '!B18</f>
        <v>28.24</v>
      </c>
      <c r="B1" s="12"/>
      <c r="C1" s="12"/>
      <c r="D1" s="12"/>
      <c r="E1" s="12"/>
      <c r="F1" s="12"/>
      <c r="G1" s="12"/>
      <c r="H1" s="12"/>
      <c r="I1" s="7"/>
      <c r="J1" s="7"/>
      <c r="K1" s="7"/>
    </row>
    <row r="2" spans="1:11" ht="12.75">
      <c r="A2" s="37" t="s">
        <v>110</v>
      </c>
      <c r="B2" s="32" t="s">
        <v>139</v>
      </c>
      <c r="C2" s="38"/>
      <c r="D2" s="38"/>
      <c r="E2" s="12"/>
      <c r="F2" s="12"/>
      <c r="G2" s="12"/>
      <c r="H2" s="12">
        <v>0</v>
      </c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1.41</v>
      </c>
      <c r="C4" s="12" t="s">
        <v>4</v>
      </c>
      <c r="D4" s="12" t="s">
        <v>1</v>
      </c>
      <c r="E4" s="12">
        <v>1429.3</v>
      </c>
      <c r="F4" s="12" t="s">
        <v>2</v>
      </c>
      <c r="G4" s="12" t="s">
        <v>5</v>
      </c>
      <c r="H4" s="12">
        <f>B4*E4</f>
        <v>2015.3129999999999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/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2015.3129999999999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2015.3129999999999</v>
      </c>
      <c r="D11" s="12" t="s">
        <v>1</v>
      </c>
      <c r="E11" s="40">
        <v>0.01</v>
      </c>
      <c r="F11" s="40"/>
      <c r="G11" s="12" t="s">
        <v>5</v>
      </c>
      <c r="H11" s="14">
        <f>C11*E11</f>
        <v>20.15313</v>
      </c>
      <c r="I11" s="7"/>
      <c r="J11" s="7"/>
      <c r="K11" s="7"/>
    </row>
    <row r="12" spans="1:11" ht="12.75">
      <c r="A12" s="32" t="s">
        <v>96</v>
      </c>
      <c r="B12" s="12"/>
      <c r="C12" s="12">
        <f>H6</f>
        <v>2015.3129999999999</v>
      </c>
      <c r="D12" s="12" t="s">
        <v>1</v>
      </c>
      <c r="E12" s="41">
        <v>0.0183</v>
      </c>
      <c r="F12" s="40"/>
      <c r="G12" s="12" t="s">
        <v>5</v>
      </c>
      <c r="H12" s="14">
        <f>C12*E12</f>
        <v>36.8802279</v>
      </c>
      <c r="I12" s="7"/>
      <c r="J12" s="7"/>
      <c r="K12" s="7"/>
    </row>
    <row r="13" spans="1:11" ht="12.75">
      <c r="A13" s="12"/>
      <c r="B13" s="32" t="s">
        <v>101</v>
      </c>
      <c r="C13" s="32" t="s">
        <v>102</v>
      </c>
      <c r="D13" s="12"/>
      <c r="E13" s="32" t="s">
        <v>103</v>
      </c>
      <c r="F13" s="12"/>
      <c r="G13" s="12"/>
      <c r="H13" s="12"/>
      <c r="I13" s="7"/>
      <c r="J13" s="7"/>
      <c r="K13" s="7"/>
    </row>
    <row r="14" spans="1:11" ht="12.75">
      <c r="A14" s="32" t="s">
        <v>100</v>
      </c>
      <c r="B14" s="14">
        <v>470</v>
      </c>
      <c r="C14" s="12">
        <v>250</v>
      </c>
      <c r="D14" s="12"/>
      <c r="E14" s="12">
        <f>B14/5</f>
        <v>94</v>
      </c>
      <c r="F14" s="12"/>
      <c r="G14" s="12"/>
      <c r="H14" s="12">
        <f>E14*C14/12</f>
        <v>1958.3333333333333</v>
      </c>
      <c r="I14" s="7"/>
      <c r="J14" s="7"/>
      <c r="K14" s="7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7"/>
      <c r="J15" s="7"/>
      <c r="K15" s="7"/>
    </row>
    <row r="16" spans="1:11" ht="12.75">
      <c r="A16" s="12" t="s">
        <v>6</v>
      </c>
      <c r="B16" s="12"/>
      <c r="C16" s="12"/>
      <c r="D16" s="12"/>
      <c r="E16" s="12"/>
      <c r="F16" s="12"/>
      <c r="G16" s="12"/>
      <c r="H16" s="12"/>
      <c r="I16" s="7"/>
      <c r="J16" s="7"/>
      <c r="K16" s="7"/>
    </row>
    <row r="17" spans="1:11" ht="12.75">
      <c r="A17" s="32"/>
      <c r="B17" s="12"/>
      <c r="C17" s="12"/>
      <c r="D17" s="12"/>
      <c r="E17" s="15"/>
      <c r="F17" s="12"/>
      <c r="G17" s="12"/>
      <c r="H17" s="14"/>
      <c r="I17" s="7"/>
      <c r="J17" s="7"/>
      <c r="K17" s="7"/>
    </row>
    <row r="18" spans="1:11" ht="12.75">
      <c r="A18" s="32" t="s">
        <v>74</v>
      </c>
      <c r="B18" s="40"/>
      <c r="C18" s="15">
        <v>0</v>
      </c>
      <c r="D18" s="12"/>
      <c r="E18" s="12"/>
      <c r="F18" s="12"/>
      <c r="G18" s="12"/>
      <c r="H18" s="14">
        <f>C18*Лист3!E24</f>
        <v>0</v>
      </c>
      <c r="I18" s="7"/>
      <c r="J18" s="7"/>
      <c r="K18" s="7"/>
    </row>
    <row r="19" spans="1:11" ht="12.75">
      <c r="A19" s="39" t="s">
        <v>23</v>
      </c>
      <c r="B19" s="12"/>
      <c r="C19" s="12"/>
      <c r="D19" s="12"/>
      <c r="E19" s="12"/>
      <c r="F19" s="12"/>
      <c r="G19" s="12"/>
      <c r="H19" s="14">
        <f>H18+H17+H15+H14+H12+H11+H16</f>
        <v>2015.366691233333</v>
      </c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 t="s">
        <v>17</v>
      </c>
      <c r="C21" s="8">
        <f>H6-H19</f>
        <v>-0.05369123333321113</v>
      </c>
      <c r="D21" s="7"/>
      <c r="E21" s="7"/>
      <c r="F21" s="7"/>
      <c r="G21" s="7"/>
      <c r="H21" s="8">
        <f>C21+H16</f>
        <v>-0.05369123333321113</v>
      </c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4">
        <f>'Сводная Таблица '!B18</f>
        <v>28.24</v>
      </c>
      <c r="B1" s="12"/>
      <c r="C1" s="12"/>
      <c r="D1" s="12"/>
      <c r="E1" s="12"/>
      <c r="F1" s="12"/>
      <c r="G1" s="12"/>
      <c r="H1" s="12"/>
      <c r="I1" s="7"/>
      <c r="J1" s="7"/>
      <c r="K1" s="7"/>
    </row>
    <row r="2" spans="1:11" ht="12.75">
      <c r="A2" s="37" t="s">
        <v>110</v>
      </c>
      <c r="B2" s="12">
        <v>22</v>
      </c>
      <c r="C2" s="38"/>
      <c r="D2" s="38"/>
      <c r="E2" s="12"/>
      <c r="F2" s="12"/>
      <c r="G2" s="12"/>
      <c r="H2" s="12">
        <v>0</v>
      </c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1.41</v>
      </c>
      <c r="C4" s="12" t="s">
        <v>4</v>
      </c>
      <c r="D4" s="12" t="s">
        <v>1</v>
      </c>
      <c r="E4" s="12">
        <v>1429.3</v>
      </c>
      <c r="F4" s="12" t="s">
        <v>2</v>
      </c>
      <c r="G4" s="12" t="s">
        <v>5</v>
      </c>
      <c r="H4" s="12">
        <f>B4*E4</f>
        <v>2015.3129999999999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/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2015.3129999999999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2015.3129999999999</v>
      </c>
      <c r="D11" s="12" t="s">
        <v>1</v>
      </c>
      <c r="E11" s="40">
        <v>0.01</v>
      </c>
      <c r="F11" s="40"/>
      <c r="G11" s="12" t="s">
        <v>5</v>
      </c>
      <c r="H11" s="14">
        <f>C11*E11</f>
        <v>20.15313</v>
      </c>
      <c r="I11" s="7"/>
      <c r="J11" s="7"/>
      <c r="K11" s="7"/>
    </row>
    <row r="12" spans="1:11" ht="12.75">
      <c r="A12" s="32" t="s">
        <v>96</v>
      </c>
      <c r="B12" s="12"/>
      <c r="C12" s="12">
        <f>H6</f>
        <v>2015.3129999999999</v>
      </c>
      <c r="D12" s="12" t="s">
        <v>1</v>
      </c>
      <c r="E12" s="41">
        <v>0.0183</v>
      </c>
      <c r="F12" s="40"/>
      <c r="G12" s="12" t="s">
        <v>5</v>
      </c>
      <c r="H12" s="14">
        <f>C12*E12</f>
        <v>36.8802279</v>
      </c>
      <c r="I12" s="7"/>
      <c r="J12" s="7"/>
      <c r="K12" s="7"/>
    </row>
    <row r="13" spans="1:11" ht="12.75">
      <c r="A13" s="12"/>
      <c r="B13" s="32" t="s">
        <v>101</v>
      </c>
      <c r="C13" s="32" t="s">
        <v>102</v>
      </c>
      <c r="D13" s="12"/>
      <c r="E13" s="32" t="s">
        <v>103</v>
      </c>
      <c r="F13" s="12"/>
      <c r="G13" s="12"/>
      <c r="H13" s="12"/>
      <c r="I13" s="7"/>
      <c r="J13" s="7"/>
      <c r="K13" s="7"/>
    </row>
    <row r="14" spans="1:11" ht="12.75">
      <c r="A14" s="32" t="s">
        <v>100</v>
      </c>
      <c r="B14" s="14">
        <v>470</v>
      </c>
      <c r="C14" s="12">
        <v>250</v>
      </c>
      <c r="D14" s="12"/>
      <c r="E14" s="12">
        <f>B14/5</f>
        <v>94</v>
      </c>
      <c r="F14" s="12"/>
      <c r="G14" s="12"/>
      <c r="H14" s="12">
        <f>E14*C14/12</f>
        <v>1958.3333333333333</v>
      </c>
      <c r="I14" s="7"/>
      <c r="J14" s="7"/>
      <c r="K14" s="7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7"/>
      <c r="J15" s="7"/>
      <c r="K15" s="7"/>
    </row>
    <row r="16" spans="1:11" ht="12.75">
      <c r="A16" s="12" t="s">
        <v>6</v>
      </c>
      <c r="B16" s="12"/>
      <c r="C16" s="12"/>
      <c r="D16" s="12"/>
      <c r="E16" s="12"/>
      <c r="F16" s="12"/>
      <c r="G16" s="12"/>
      <c r="H16" s="12"/>
      <c r="I16" s="7"/>
      <c r="J16" s="7"/>
      <c r="K16" s="7"/>
    </row>
    <row r="17" spans="1:11" ht="12.75">
      <c r="A17" s="32"/>
      <c r="B17" s="12"/>
      <c r="C17" s="12"/>
      <c r="D17" s="12"/>
      <c r="E17" s="15"/>
      <c r="F17" s="12"/>
      <c r="G17" s="12"/>
      <c r="H17" s="14"/>
      <c r="I17" s="7"/>
      <c r="J17" s="7"/>
      <c r="K17" s="7"/>
    </row>
    <row r="18" spans="1:11" ht="12.75">
      <c r="A18" s="32" t="s">
        <v>74</v>
      </c>
      <c r="B18" s="40"/>
      <c r="C18" s="15">
        <v>0</v>
      </c>
      <c r="D18" s="12"/>
      <c r="E18" s="12"/>
      <c r="F18" s="12"/>
      <c r="G18" s="12"/>
      <c r="H18" s="14">
        <f>C18*Лист3!E24</f>
        <v>0</v>
      </c>
      <c r="I18" s="7"/>
      <c r="J18" s="7"/>
      <c r="K18" s="7"/>
    </row>
    <row r="19" spans="1:11" ht="12.75">
      <c r="A19" s="39" t="s">
        <v>23</v>
      </c>
      <c r="B19" s="12"/>
      <c r="C19" s="12"/>
      <c r="D19" s="12"/>
      <c r="E19" s="12"/>
      <c r="F19" s="12"/>
      <c r="G19" s="12"/>
      <c r="H19" s="14">
        <f>H18+H17+H15+H14+H12+H11+H16</f>
        <v>2015.366691233333</v>
      </c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 t="s">
        <v>17</v>
      </c>
      <c r="C21" s="8">
        <f>H6-H19</f>
        <v>-0.05369123333321113</v>
      </c>
      <c r="D21" s="7"/>
      <c r="E21" s="7"/>
      <c r="F21" s="7"/>
      <c r="G21" s="7"/>
      <c r="H21" s="8">
        <f>C21+H16</f>
        <v>-0.05369123333321113</v>
      </c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4">
        <f>'Сводная Таблица '!B18</f>
        <v>28.24</v>
      </c>
      <c r="B1" s="12"/>
      <c r="C1" s="12"/>
      <c r="D1" s="12"/>
      <c r="E1" s="12"/>
      <c r="F1" s="12"/>
      <c r="G1" s="12"/>
      <c r="H1" s="12"/>
      <c r="I1" s="7"/>
      <c r="J1" s="7"/>
      <c r="K1" s="7"/>
    </row>
    <row r="2" spans="1:11" ht="12.75">
      <c r="A2" s="37" t="s">
        <v>110</v>
      </c>
      <c r="B2" s="12">
        <v>23</v>
      </c>
      <c r="C2" s="38"/>
      <c r="D2" s="38"/>
      <c r="E2" s="12"/>
      <c r="F2" s="12"/>
      <c r="G2" s="12"/>
      <c r="H2" s="12">
        <v>0</v>
      </c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1.41</v>
      </c>
      <c r="C4" s="12" t="s">
        <v>4</v>
      </c>
      <c r="D4" s="12" t="s">
        <v>1</v>
      </c>
      <c r="E4" s="12">
        <v>1429.3</v>
      </c>
      <c r="F4" s="12" t="s">
        <v>2</v>
      </c>
      <c r="G4" s="12" t="s">
        <v>5</v>
      </c>
      <c r="H4" s="12">
        <f>B4*E4</f>
        <v>2015.3129999999999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/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2015.3129999999999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2015.3129999999999</v>
      </c>
      <c r="D11" s="12" t="s">
        <v>1</v>
      </c>
      <c r="E11" s="40">
        <v>0.01</v>
      </c>
      <c r="F11" s="40"/>
      <c r="G11" s="12" t="s">
        <v>5</v>
      </c>
      <c r="H11" s="14">
        <f>C11*E11</f>
        <v>20.15313</v>
      </c>
      <c r="I11" s="7"/>
      <c r="J11" s="7"/>
      <c r="K11" s="7"/>
    </row>
    <row r="12" spans="1:11" ht="12.75">
      <c r="A12" s="32" t="s">
        <v>96</v>
      </c>
      <c r="B12" s="12"/>
      <c r="C12" s="12">
        <f>H6</f>
        <v>2015.3129999999999</v>
      </c>
      <c r="D12" s="12" t="s">
        <v>1</v>
      </c>
      <c r="E12" s="41">
        <v>0.0183</v>
      </c>
      <c r="F12" s="40"/>
      <c r="G12" s="12" t="s">
        <v>5</v>
      </c>
      <c r="H12" s="14">
        <f>C12*E12</f>
        <v>36.8802279</v>
      </c>
      <c r="I12" s="7"/>
      <c r="J12" s="7"/>
      <c r="K12" s="7"/>
    </row>
    <row r="13" spans="1:11" ht="12.75">
      <c r="A13" s="12"/>
      <c r="B13" s="32" t="s">
        <v>101</v>
      </c>
      <c r="C13" s="32" t="s">
        <v>102</v>
      </c>
      <c r="D13" s="12"/>
      <c r="E13" s="32" t="s">
        <v>103</v>
      </c>
      <c r="F13" s="12"/>
      <c r="G13" s="12"/>
      <c r="H13" s="12"/>
      <c r="I13" s="7"/>
      <c r="J13" s="7"/>
      <c r="K13" s="7"/>
    </row>
    <row r="14" spans="1:11" ht="12.75">
      <c r="A14" s="32" t="s">
        <v>100</v>
      </c>
      <c r="B14" s="14">
        <v>470</v>
      </c>
      <c r="C14" s="12">
        <v>250</v>
      </c>
      <c r="D14" s="12"/>
      <c r="E14" s="12">
        <f>B14/5</f>
        <v>94</v>
      </c>
      <c r="F14" s="12"/>
      <c r="G14" s="12"/>
      <c r="H14" s="12">
        <f>E14*C14/12</f>
        <v>1958.3333333333333</v>
      </c>
      <c r="I14" s="7"/>
      <c r="J14" s="7"/>
      <c r="K14" s="7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7"/>
      <c r="J15" s="7"/>
      <c r="K15" s="7"/>
    </row>
    <row r="16" spans="1:11" ht="12.75">
      <c r="A16" s="12" t="s">
        <v>6</v>
      </c>
      <c r="B16" s="12"/>
      <c r="C16" s="12"/>
      <c r="D16" s="12"/>
      <c r="E16" s="12"/>
      <c r="F16" s="12"/>
      <c r="G16" s="12"/>
      <c r="H16" s="12"/>
      <c r="I16" s="7"/>
      <c r="J16" s="7"/>
      <c r="K16" s="7"/>
    </row>
    <row r="17" spans="1:11" ht="12.75">
      <c r="A17" s="32"/>
      <c r="B17" s="12"/>
      <c r="C17" s="12"/>
      <c r="D17" s="12"/>
      <c r="E17" s="15"/>
      <c r="F17" s="12"/>
      <c r="G17" s="12"/>
      <c r="H17" s="14"/>
      <c r="I17" s="7"/>
      <c r="J17" s="7"/>
      <c r="K17" s="7"/>
    </row>
    <row r="18" spans="1:11" ht="12.75">
      <c r="A18" s="32" t="s">
        <v>74</v>
      </c>
      <c r="B18" s="40"/>
      <c r="C18" s="15">
        <v>0</v>
      </c>
      <c r="D18" s="12"/>
      <c r="E18" s="12"/>
      <c r="F18" s="12"/>
      <c r="G18" s="12"/>
      <c r="H18" s="14">
        <f>C18*Лист3!E24</f>
        <v>0</v>
      </c>
      <c r="I18" s="7"/>
      <c r="J18" s="7"/>
      <c r="K18" s="7"/>
    </row>
    <row r="19" spans="1:11" ht="12.75">
      <c r="A19" s="39" t="s">
        <v>23</v>
      </c>
      <c r="B19" s="12"/>
      <c r="C19" s="12"/>
      <c r="D19" s="12"/>
      <c r="E19" s="12"/>
      <c r="F19" s="12"/>
      <c r="G19" s="12"/>
      <c r="H19" s="14">
        <f>H18+H17+H15+H14+H12+H11+H16</f>
        <v>2015.366691233333</v>
      </c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 t="s">
        <v>17</v>
      </c>
      <c r="C21" s="8">
        <f>H6-H19</f>
        <v>-0.05369123333321113</v>
      </c>
      <c r="D21" s="7"/>
      <c r="E21" s="7"/>
      <c r="F21" s="7"/>
      <c r="G21" s="7"/>
      <c r="H21" s="8">
        <f>C21+H16</f>
        <v>-0.05369123333321113</v>
      </c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35" ht="12.75">
      <c r="Q35" t="s">
        <v>35</v>
      </c>
    </row>
    <row r="47" ht="12.75">
      <c r="B47" t="s">
        <v>111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9.75390625" style="0" customWidth="1"/>
    <col min="4" max="4" width="2.125" style="0" customWidth="1"/>
    <col min="5" max="5" width="7.75390625" style="0" customWidth="1"/>
    <col min="6" max="6" width="4.75390625" style="0" customWidth="1"/>
    <col min="7" max="7" width="2.25390625" style="0" customWidth="1"/>
    <col min="8" max="8" width="10.00390625" style="0" customWidth="1"/>
  </cols>
  <sheetData>
    <row r="1" spans="1:11" ht="12.75">
      <c r="A1" s="14">
        <f>'Сводная Таблица '!B18</f>
        <v>28.24</v>
      </c>
      <c r="B1" s="12"/>
      <c r="C1" s="12"/>
      <c r="D1" s="12"/>
      <c r="E1" s="12"/>
      <c r="F1" s="12"/>
      <c r="G1" s="12"/>
      <c r="H1" s="12"/>
      <c r="I1" s="7">
        <v>19274.65</v>
      </c>
      <c r="J1" s="7"/>
      <c r="K1" s="7"/>
    </row>
    <row r="2" spans="1:11" ht="12.75">
      <c r="A2" s="37" t="s">
        <v>105</v>
      </c>
      <c r="B2" s="12"/>
      <c r="C2" s="38"/>
      <c r="D2" s="38"/>
      <c r="E2" s="12"/>
      <c r="F2" s="12"/>
      <c r="G2" s="12"/>
      <c r="H2" s="12">
        <v>0</v>
      </c>
      <c r="I2" s="7"/>
      <c r="J2" s="7"/>
      <c r="K2" s="7"/>
    </row>
    <row r="3" spans="1:11" ht="12.75">
      <c r="A3" s="12"/>
      <c r="B3" s="12"/>
      <c r="C3" s="12"/>
      <c r="D3" s="12"/>
      <c r="E3" s="12"/>
      <c r="F3" s="12"/>
      <c r="G3" s="12"/>
      <c r="H3" s="12"/>
      <c r="I3" s="7"/>
      <c r="J3" s="7"/>
      <c r="K3" s="7"/>
    </row>
    <row r="4" spans="1:11" ht="12.75">
      <c r="A4" s="12" t="s">
        <v>0</v>
      </c>
      <c r="B4" s="14">
        <v>3.01</v>
      </c>
      <c r="C4" s="12" t="s">
        <v>4</v>
      </c>
      <c r="D4" s="12" t="s">
        <v>1</v>
      </c>
      <c r="E4" s="12">
        <f>17996.65</f>
        <v>17996.65</v>
      </c>
      <c r="F4" s="12" t="s">
        <v>2</v>
      </c>
      <c r="G4" s="12" t="s">
        <v>5</v>
      </c>
      <c r="H4" s="12">
        <f>B4*E4</f>
        <v>54169.9165</v>
      </c>
      <c r="I4" s="7" t="s">
        <v>3</v>
      </c>
      <c r="J4" s="7"/>
      <c r="K4" s="7"/>
    </row>
    <row r="5" spans="1:11" ht="12.75">
      <c r="A5" s="12"/>
      <c r="B5" s="12"/>
      <c r="C5" s="12"/>
      <c r="D5" s="12"/>
      <c r="E5" s="12"/>
      <c r="F5" s="12"/>
      <c r="G5" s="12"/>
      <c r="H5" s="12"/>
      <c r="I5" s="7"/>
      <c r="J5" s="7"/>
      <c r="K5" s="7"/>
    </row>
    <row r="6" spans="1:11" ht="12.75">
      <c r="A6" s="12" t="s">
        <v>18</v>
      </c>
      <c r="B6" s="12"/>
      <c r="C6" s="12"/>
      <c r="D6" s="12"/>
      <c r="E6" s="12"/>
      <c r="F6" s="12"/>
      <c r="G6" s="12"/>
      <c r="H6" s="12">
        <f>H4</f>
        <v>54169.9165</v>
      </c>
      <c r="I6" s="7"/>
      <c r="J6" s="7"/>
      <c r="K6" s="7"/>
    </row>
    <row r="7" spans="1:11" ht="12.7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</row>
    <row r="8" spans="1:11" ht="12.75">
      <c r="A8" s="12"/>
      <c r="B8" s="12"/>
      <c r="C8" s="12"/>
      <c r="D8" s="12"/>
      <c r="E8" s="12"/>
      <c r="F8" s="12"/>
      <c r="G8" s="12"/>
      <c r="H8" s="12"/>
      <c r="I8" s="7"/>
      <c r="J8" s="7"/>
      <c r="K8" s="7"/>
    </row>
    <row r="9" spans="1:11" ht="12.75">
      <c r="A9" s="39" t="s">
        <v>7</v>
      </c>
      <c r="B9" s="12"/>
      <c r="C9" s="12"/>
      <c r="D9" s="12"/>
      <c r="E9" s="12"/>
      <c r="F9" s="12"/>
      <c r="G9" s="12"/>
      <c r="H9" s="12"/>
      <c r="I9" s="7"/>
      <c r="J9" s="7"/>
      <c r="K9" s="7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7"/>
      <c r="J10" s="7"/>
      <c r="K10" s="7"/>
    </row>
    <row r="11" spans="1:11" ht="12.75">
      <c r="A11" s="32" t="s">
        <v>99</v>
      </c>
      <c r="B11" s="12"/>
      <c r="C11" s="12">
        <f>H6</f>
        <v>54169.9165</v>
      </c>
      <c r="D11" s="12" t="s">
        <v>1</v>
      </c>
      <c r="E11" s="40">
        <v>0.01</v>
      </c>
      <c r="F11" s="40"/>
      <c r="G11" s="12" t="s">
        <v>5</v>
      </c>
      <c r="H11" s="14">
        <f>C11*E11</f>
        <v>541.699165</v>
      </c>
      <c r="I11" s="7"/>
      <c r="J11" s="7"/>
      <c r="K11" s="7"/>
    </row>
    <row r="12" spans="1:11" ht="12.75">
      <c r="A12" s="32" t="s">
        <v>96</v>
      </c>
      <c r="B12" s="12"/>
      <c r="C12" s="12">
        <f>H6</f>
        <v>54169.9165</v>
      </c>
      <c r="D12" s="12" t="s">
        <v>1</v>
      </c>
      <c r="E12" s="41">
        <v>0.0183</v>
      </c>
      <c r="F12" s="40"/>
      <c r="G12" s="12" t="s">
        <v>5</v>
      </c>
      <c r="H12" s="14">
        <f>C12*E12</f>
        <v>991.30947195</v>
      </c>
      <c r="I12" s="7"/>
      <c r="J12" s="7"/>
      <c r="K12" s="7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7"/>
      <c r="J13" s="7"/>
      <c r="K13" s="7"/>
    </row>
    <row r="14" spans="1:11" ht="12.75">
      <c r="A14" s="12"/>
      <c r="B14" s="14"/>
      <c r="C14" s="12"/>
      <c r="D14" s="12"/>
      <c r="E14" s="12"/>
      <c r="F14" s="12"/>
      <c r="G14" s="12"/>
      <c r="H14" s="12"/>
      <c r="I14" s="7"/>
      <c r="J14" s="7"/>
      <c r="K14" s="7"/>
    </row>
    <row r="15" spans="1:11" ht="12.75">
      <c r="A15" s="32" t="s">
        <v>109</v>
      </c>
      <c r="B15" s="12"/>
      <c r="C15" s="12"/>
      <c r="D15" s="12"/>
      <c r="E15" s="12"/>
      <c r="F15" s="12"/>
      <c r="G15" s="12"/>
      <c r="H15" s="12">
        <f>20000/I1*E4</f>
        <v>18673.905881559458</v>
      </c>
      <c r="I15" s="7"/>
      <c r="J15" s="7"/>
      <c r="K15" s="7"/>
    </row>
    <row r="16" spans="1:11" ht="12.75">
      <c r="A16" s="12" t="s">
        <v>6</v>
      </c>
      <c r="B16" s="12"/>
      <c r="C16" s="12"/>
      <c r="D16" s="12"/>
      <c r="E16" s="12"/>
      <c r="F16" s="12"/>
      <c r="G16" s="12"/>
      <c r="H16" s="12">
        <f>20000/I1*E4</f>
        <v>18673.905881559458</v>
      </c>
      <c r="I16" s="7"/>
      <c r="J16" s="7"/>
      <c r="K16" s="7"/>
    </row>
    <row r="17" spans="1:11" ht="12.75">
      <c r="A17" s="32"/>
      <c r="B17" s="12"/>
      <c r="C17" s="12"/>
      <c r="D17" s="12"/>
      <c r="E17" s="15"/>
      <c r="F17" s="12"/>
      <c r="G17" s="12"/>
      <c r="H17" s="14"/>
      <c r="I17" s="7"/>
      <c r="J17" s="7"/>
      <c r="K17" s="7"/>
    </row>
    <row r="18" spans="1:11" ht="12.75">
      <c r="A18" s="32" t="s">
        <v>74</v>
      </c>
      <c r="B18" s="40"/>
      <c r="C18" s="15">
        <f>B4/A1</f>
        <v>0.10658640226628895</v>
      </c>
      <c r="D18" s="12"/>
      <c r="E18" s="12"/>
      <c r="F18" s="12"/>
      <c r="G18" s="12"/>
      <c r="H18" s="14">
        <f>C18*Лист3!E24</f>
        <v>15276.18914443572</v>
      </c>
      <c r="I18" s="7"/>
      <c r="J18" s="7"/>
      <c r="K18" s="7"/>
    </row>
    <row r="19" spans="1:11" ht="12.75">
      <c r="A19" s="39" t="s">
        <v>23</v>
      </c>
      <c r="B19" s="12"/>
      <c r="C19" s="12"/>
      <c r="D19" s="12"/>
      <c r="E19" s="12"/>
      <c r="F19" s="12"/>
      <c r="G19" s="12"/>
      <c r="H19" s="14">
        <f>H18+H17+H15+H14+H12+H11+H16</f>
        <v>54157.00954450463</v>
      </c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 t="s">
        <v>17</v>
      </c>
      <c r="C21" s="8">
        <f>H6-H19</f>
        <v>12.906955495367583</v>
      </c>
      <c r="D21" s="7"/>
      <c r="E21" s="7"/>
      <c r="F21" s="7"/>
      <c r="G21" s="7"/>
      <c r="H21" s="8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8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2018-05-17T05:18:13Z</cp:lastPrinted>
  <dcterms:created xsi:type="dcterms:W3CDTF">2011-01-27T11:08:38Z</dcterms:created>
  <dcterms:modified xsi:type="dcterms:W3CDTF">2018-05-17T05:18:15Z</dcterms:modified>
  <cp:category/>
  <cp:version/>
  <cp:contentType/>
  <cp:contentStatus/>
</cp:coreProperties>
</file>